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60" windowWidth="22956" windowHeight="10224" activeTab="0"/>
  </bookViews>
  <sheets>
    <sheet name="Modèle" sheetId="1" r:id="rId1"/>
  </sheets>
  <definedNames>
    <definedName name="_xlnm.Print_Area" localSheetId="0">'Modèle'!$A:$IV</definedName>
  </definedNames>
  <calcPr fullCalcOnLoad="1"/>
</workbook>
</file>

<file path=xl/sharedStrings.xml><?xml version="1.0" encoding="utf-8"?>
<sst xmlns="http://schemas.openxmlformats.org/spreadsheetml/2006/main" count="226" uniqueCount="178">
  <si>
    <t>g/100g</t>
  </si>
  <si>
    <t>kg</t>
  </si>
  <si>
    <t>%</t>
  </si>
  <si>
    <t>g</t>
  </si>
  <si>
    <t xml:space="preserve">Volume: </t>
  </si>
  <si>
    <t>1- Propriétés du moût</t>
  </si>
  <si>
    <t>2- Ajustement à la teneur en sucre</t>
  </si>
  <si>
    <t>3- Ajouts au moût et conditions au départ de la fermentation</t>
  </si>
  <si>
    <t>4- Conditions du cidre après la fermentation principale</t>
  </si>
  <si>
    <t>5- Dosage du sucre pour prise de mousse</t>
  </si>
  <si>
    <t>6- Cidre fait (sans MLF)</t>
  </si>
  <si>
    <t>7- Analyse du cidre</t>
  </si>
  <si>
    <t>8- Fermentation malolactique</t>
  </si>
  <si>
    <t xml:space="preserve">Densité relative : </t>
  </si>
  <si>
    <t>g/L</t>
  </si>
  <si>
    <t>litres</t>
  </si>
  <si>
    <t xml:space="preserve">Titre acide (équivalent acide malique) : </t>
  </si>
  <si>
    <t xml:space="preserve">Quantité ou volume (à 20ºC) : </t>
  </si>
  <si>
    <t xml:space="preserve">Facteur d’ajustement pour le sucre (+ / -) : </t>
  </si>
  <si>
    <t>mL/L</t>
  </si>
  <si>
    <t xml:space="preserve">Effervescence : </t>
  </si>
  <si>
    <t xml:space="preserve">K - alcool sur chute de densité : </t>
  </si>
  <si>
    <t>Moût orignal</t>
  </si>
  <si>
    <t>Départ de fermentation</t>
  </si>
  <si>
    <t>Fermentation</t>
  </si>
  <si>
    <t>Après fermentation</t>
  </si>
  <si>
    <t>Cidre fait</t>
  </si>
  <si>
    <t>Cidre après ajout</t>
  </si>
  <si>
    <t>Toutes valeurs en grammes</t>
  </si>
  <si>
    <t xml:space="preserve">Eau : </t>
  </si>
  <si>
    <t xml:space="preserve">Alcool : </t>
  </si>
  <si>
    <t xml:space="preserve">Gaz carbonique : </t>
  </si>
  <si>
    <t xml:space="preserve">Autres produits de fermentation : </t>
  </si>
  <si>
    <t xml:space="preserve">Masse totale : </t>
  </si>
  <si>
    <t xml:space="preserve">Sucre fermentescible : </t>
  </si>
  <si>
    <t>Détails des calculs    (pour T = 20C)</t>
  </si>
  <si>
    <t xml:space="preserve">Calculs faits pour : </t>
  </si>
  <si>
    <t>1er ajout de sucre/eau</t>
  </si>
  <si>
    <t>2e ajout de sucre/eau</t>
  </si>
  <si>
    <t>Evolution des principaux constituants du cidre au fil des transformations</t>
  </si>
  <si>
    <t xml:space="preserve">Solides (en équivalent sucre) : </t>
  </si>
  <si>
    <t xml:space="preserve">Eau (+ équivalent eau) : </t>
  </si>
  <si>
    <t>Pour ce modèle, on suppose que toutes les substances du cidre se comportent selon une des catégories suivantes : eau / solides / alcool / gaz carbonique / autres produits de fermentation</t>
  </si>
  <si>
    <t>Routine de mélange</t>
  </si>
  <si>
    <t>Cette routine permet de calculer le volume approximatif d’un mélange d’eau, de sucre et d’alcool</t>
  </si>
  <si>
    <t>Quantités des substances mélangées en grammes</t>
  </si>
  <si>
    <t>Mélange des solides avec l’eau</t>
  </si>
  <si>
    <t>Ajout de l’alcool, contraction volumique</t>
  </si>
  <si>
    <t>Résultats</t>
  </si>
  <si>
    <t>Modèle pour la fermentation du cidre</t>
  </si>
  <si>
    <t>Ne pas modifier les valeurs à l’extérieur du cadre (sauf si en vert)</t>
  </si>
  <si>
    <t xml:space="preserve">Degrés Brix : </t>
  </si>
  <si>
    <r>
      <t>Teneur en sucre apparent (S</t>
    </r>
    <r>
      <rPr>
        <sz val="7"/>
        <rFont val="Arial"/>
        <family val="2"/>
      </rPr>
      <t>A</t>
    </r>
    <r>
      <rPr>
        <sz val="10"/>
        <rFont val="Arial"/>
        <family val="0"/>
      </rPr>
      <t xml:space="preserve">) : </t>
    </r>
  </si>
  <si>
    <t xml:space="preserve">Teneur en sucre ajustée (S) : </t>
  </si>
  <si>
    <t>Tel que vu dans la section 9.3, on ne peut connaître à partir de la densité que la teneur en sucre moyenne d’un grand nombre d’échantillons.</t>
  </si>
  <si>
    <t xml:space="preserve">Teneur moyenne en sucre, à la densité donnée (Smoy) : </t>
  </si>
  <si>
    <t>Entrez votre facteur d’ajustement ici. Notez que sa valeur devrait être inférieure à +/- 11.3% car ce nombre correspond à la plage à niveau de confiance de 95%.</t>
  </si>
  <si>
    <t xml:space="preserve">Masse volumique du moût (ρ) à 20ºC : </t>
  </si>
  <si>
    <t xml:space="preserve">Masse totale du moût : </t>
  </si>
  <si>
    <t>Ce facteur est une correction en % qui est ajoutée ou soustraite à la teneur moyenne (Smoy) pour tenir compte de la différence entre vos pommes et la moyenne</t>
  </si>
  <si>
    <t>Dans cette section, on calcule l’effet d’ajout de sucre et/ou d’eau au moût (chaptalisation, dilution)</t>
  </si>
  <si>
    <t xml:space="preserve">Quantité de sucre ajouté (grammes par litre de moût) : </t>
  </si>
  <si>
    <t xml:space="preserve">Quantité d’eau ajoutée (ml par litre de moût) : </t>
  </si>
  <si>
    <t xml:space="preserve">Quantité totale à ajouter : </t>
  </si>
  <si>
    <t xml:space="preserve">Densité relative du moût après ajouts : </t>
  </si>
  <si>
    <t xml:space="preserve">Brix (g/100g) : </t>
  </si>
  <si>
    <t xml:space="preserve">Variation de densité : </t>
  </si>
  <si>
    <t>points</t>
  </si>
  <si>
    <t xml:space="preserve">Sucre résiduel (grammes par litre) : </t>
  </si>
  <si>
    <t xml:space="preserve">Alcool acquis : </t>
  </si>
  <si>
    <t>% vol</t>
  </si>
  <si>
    <t>Entrez une valeur pour la teneur en sucre résiduel si vous désirez que le programme calcule les conditions finales en supposant qu’une partie du sucre n’ait pas fermenté</t>
  </si>
  <si>
    <t>Entrez la quantité de sucre ajouté pour la prise de mousse, et la quantité d’eau pour diluer ce sucre</t>
  </si>
  <si>
    <t xml:space="preserve">Volume de cidre considéré : </t>
  </si>
  <si>
    <t>kg de sucre</t>
  </si>
  <si>
    <t>litres d’eau</t>
  </si>
  <si>
    <t xml:space="preserve">CO2 en solution (g/L) : </t>
  </si>
  <si>
    <t xml:space="preserve">Volumes de CO2 : </t>
  </si>
  <si>
    <t xml:space="preserve">Chute de densité (points) : </t>
  </si>
  <si>
    <t xml:space="preserve">Densité rel. Finale : </t>
  </si>
  <si>
    <t xml:space="preserve">Titre alcoolique : </t>
  </si>
  <si>
    <t xml:space="preserve">Extrait sec : </t>
  </si>
  <si>
    <t xml:space="preserve">Extrait sec réduit : </t>
  </si>
  <si>
    <t>L’analyse du cidre devrait donner les résultats suivants</t>
  </si>
  <si>
    <t>Par la méthode du résidu (évaporation de l’alcool et remplacement par de l’eau)</t>
  </si>
  <si>
    <t xml:space="preserve">Densité relative du résidu : </t>
  </si>
  <si>
    <t xml:space="preserve">Différence (d2-d1) : </t>
  </si>
  <si>
    <t>Dans cette section on évalue la varietion de densité causée par la fermentation malolactique</t>
  </si>
  <si>
    <t>Table de Honneyman</t>
  </si>
  <si>
    <t>Entrez le pourcentage de l’acide malique initial qui est transformé en acide lactique</t>
  </si>
  <si>
    <t xml:space="preserve">Transformation en % de l’acide malique : </t>
  </si>
  <si>
    <t xml:space="preserve">Acidité totale après FML : </t>
  </si>
  <si>
    <t xml:space="preserve">Acidité totale avant FML (acide malique) : </t>
  </si>
  <si>
    <t xml:space="preserve">Densité relative finale avec FML : </t>
  </si>
  <si>
    <t>Clause de non-responsabilité :</t>
  </si>
  <si>
    <t>Acide malique transformé (par litre)</t>
  </si>
  <si>
    <t>Pour 1 litre de cidre</t>
  </si>
  <si>
    <t xml:space="preserve">Masse : </t>
  </si>
  <si>
    <t>Acide lactique produit</t>
  </si>
  <si>
    <t xml:space="preserve">Changement de masse : </t>
  </si>
  <si>
    <t xml:space="preserve">Masse finale du cidre : </t>
  </si>
  <si>
    <t>grammes</t>
  </si>
  <si>
    <t xml:space="preserve">Volume final du cidre : </t>
  </si>
  <si>
    <t xml:space="preserve">Changement de volume : </t>
  </si>
  <si>
    <t xml:space="preserve">Masse volumique : </t>
  </si>
  <si>
    <t>mL</t>
  </si>
  <si>
    <t>g (= masse de CO2 produit)</t>
  </si>
  <si>
    <t>Cette feuille de calcul fait partie du matériel d’accompagnement du livre "Du pommier au cidre"</t>
  </si>
  <si>
    <t>Auteur : Claude Jolicoeur ; Éditeur : Le Rouergue</t>
  </si>
  <si>
    <t>Cette feuille de calcul est fournie telle quelle, sans aucune garantie d’exactitude.</t>
  </si>
  <si>
    <t>Constantes et facteurs utilisés par la feuille de calcul - Ne pas modifier sauf les cases en vert pour ajustements</t>
  </si>
  <si>
    <t>Entrez vos données dans les cases de couleur pêche</t>
  </si>
  <si>
    <t>Les résultats sont affichés dans les cases de couleur jaune - ne pas modifier</t>
  </si>
  <si>
    <t>Consultez l’annexe 2 de "Du pommier au cidre" pour des instruction sur l’utilisation de cette feuille de calcul</t>
  </si>
  <si>
    <t xml:space="preserve">Alcool en puissance : </t>
  </si>
  <si>
    <t>Ce facteur peut être ajusté, mais il est préférable d’utiliser le facteur d’ajustement</t>
  </si>
  <si>
    <t>Une valeur de 0,060 est donnée par Warcollier dans La Cidrerie</t>
  </si>
  <si>
    <t>g/l Masse volumique du CO2 aux conditions standard</t>
  </si>
  <si>
    <t>Régression de la table de Honneyman (Section 15.4)</t>
  </si>
  <si>
    <t>Valeur moyenne qui peut être modifiée. Si le cidre est saturé de CO2 au soutirage final, une valeur de 2 peut être utilisée.</t>
  </si>
  <si>
    <t>g/l de CO2 déjà en solution au soutirage final, doit être entre 0 et 2 g/L</t>
  </si>
  <si>
    <t>(relation approximative, valide à 20C, et pour d &lt; 1,110)</t>
  </si>
  <si>
    <t>g/100g de sucre - Taux de production d’alcool - devrait être entre 47 et 48,4</t>
  </si>
  <si>
    <t>g/100g de sucre - Taux de production, CO2 - devrait être entre 46,5 et 48</t>
  </si>
  <si>
    <t>g/100g de sucre - Taux de production, autres produits</t>
  </si>
  <si>
    <t>ρ_eau, masse volumique de l’eau à 20C (g/L)</t>
  </si>
  <si>
    <t>Régression pour le calcul du Brix à partir de la densité (section 9.1)</t>
  </si>
  <si>
    <t>Régression pour le calcul de la densité à partir du Brix (Section 9.1)</t>
  </si>
  <si>
    <t>Coefficients de la relation de Pasteur (Section 15.4)</t>
  </si>
  <si>
    <r>
      <t>Facteur pour la relation entre le sucre apparent (ou solides totaux) et la densité (Section 9.1) ; S</t>
    </r>
    <r>
      <rPr>
        <sz val="7"/>
        <rFont val="Arial"/>
        <family val="2"/>
      </rPr>
      <t>A</t>
    </r>
    <r>
      <rPr>
        <sz val="10"/>
        <rFont val="Arial"/>
        <family val="0"/>
      </rPr>
      <t xml:space="preserve"> = 2608 (d-1)</t>
    </r>
  </si>
  <si>
    <t>Facteur pour le calcul de la teneur moyenne en sucre (Smoy) - Voir Section 9.3</t>
  </si>
  <si>
    <t>Facteur pour l’alcool en puissance (Section 9.1)</t>
  </si>
  <si>
    <t>g/L - Masse volumique de l’alcool pur (ρ_alcool) à 20C</t>
  </si>
  <si>
    <t>Régression pour la contraction volumique du mélange eau-alcool (Section 15.4)</t>
  </si>
  <si>
    <t>% (+ / -) Facteur d’ajustement pour la contraction volumique</t>
  </si>
  <si>
    <t>Une valeur négative fait l’inverse et réduit la densité finale.</t>
  </si>
  <si>
    <t>Une valeur positive pour ce facteur augmente la contraction volumique, ce qui réduit le volume et augmente la densité finale</t>
  </si>
  <si>
    <t>Masse molaire de l’acide lactique C3H6O3 (g/mol)</t>
  </si>
  <si>
    <t>Masse molaire de l’acide malique C4H6O5 (g/mol)</t>
  </si>
  <si>
    <t>Masse volumique, acide lactique, 20C (g/L)</t>
  </si>
  <si>
    <t>Masse volumique, acide malique, 20C (g/L)</t>
  </si>
  <si>
    <t xml:space="preserve">Volume du mélange (L) : </t>
  </si>
  <si>
    <t xml:space="preserve">Masse totale (g) : </t>
  </si>
  <si>
    <t xml:space="preserve">Masse volumique (g/L) : </t>
  </si>
  <si>
    <t xml:space="preserve">Titre alcoolique (% vol) : </t>
  </si>
  <si>
    <t xml:space="preserve">Brix : </t>
  </si>
  <si>
    <t xml:space="preserve">Volume d'alcool (L): </t>
  </si>
  <si>
    <t xml:space="preserve">Somme des volumes : </t>
  </si>
  <si>
    <t xml:space="preserve">Rapport volumique R (%) : </t>
  </si>
  <si>
    <t xml:space="preserve">Contraction volumique Δ (%) : </t>
  </si>
  <si>
    <t xml:space="preserve">Volume (L) : </t>
  </si>
  <si>
    <t>Ni l’auteur ni l’éditeur ne peuvent être tenus responsable d’aucune perte ou dommage résultant de l’utilisation de cette feuille de calcul.</t>
  </si>
  <si>
    <r>
      <t>Du pommier au cidre</t>
    </r>
    <r>
      <rPr>
        <sz val="10"/>
        <rFont val="Arial"/>
        <family val="0"/>
      </rPr>
      <t xml:space="preserve"> par Claude Jolicoeur • Copyright © 2016 par Claude Jolicoeur. • Tous droits réservés.</t>
    </r>
  </si>
  <si>
    <t>Note : pour dissoudre du sucre, une quantité d’eau de 2/3 à 3/4 de la quantité de sucre ajouté est habituellement adéquate.</t>
  </si>
  <si>
    <t>Plat</t>
  </si>
  <si>
    <t>Perlant</t>
  </si>
  <si>
    <t>Pétillant</t>
  </si>
  <si>
    <t>Mousseux</t>
  </si>
  <si>
    <t>Explosif</t>
  </si>
  <si>
    <t>Classes d’effervescence</t>
  </si>
  <si>
    <t>Limite</t>
  </si>
  <si>
    <t>Nom</t>
  </si>
  <si>
    <t>Classes de sucrosité</t>
  </si>
  <si>
    <t>(vol de CO2)</t>
  </si>
  <si>
    <t>(g/L sucre)</t>
  </si>
  <si>
    <t>Doux</t>
  </si>
  <si>
    <t>Demi-sec</t>
  </si>
  <si>
    <t>Brut</t>
  </si>
  <si>
    <t>Extra-brut</t>
  </si>
  <si>
    <t>Zéro</t>
  </si>
  <si>
    <t xml:space="preserve">Sucrosité : </t>
  </si>
  <si>
    <t>Les noms et les limites des classes d'effervescence et de sucrosité peuvent être modifiés selon les règlementations auxquelles vous êtes assujetti</t>
  </si>
  <si>
    <t>Remplacer cette valeur par 30 pour le Québec (cidre effervescent)</t>
  </si>
  <si>
    <t>Remplacer cette valeur par 50 pour le Québec (cidre effervescent)</t>
  </si>
  <si>
    <t>Tableau 16.1</t>
  </si>
  <si>
    <t>Tableau 16.3</t>
  </si>
  <si>
    <t>Fermentation malolactique</t>
  </si>
  <si>
    <t>litre de moût</t>
  </si>
</sst>
</file>

<file path=xl/styles.xml><?xml version="1.0" encoding="utf-8"?>
<styleSheet xmlns="http://schemas.openxmlformats.org/spreadsheetml/2006/main">
  <numFmts count="6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m/d"/>
    <numFmt numFmtId="189" formatCode="d/m"/>
    <numFmt numFmtId="190" formatCode="dd/mm/yy"/>
    <numFmt numFmtId="191" formatCode="0.0"/>
    <numFmt numFmtId="192" formatCode=".00"/>
    <numFmt numFmtId="193" formatCode="00,&quot; Li&quot;"/>
    <numFmt numFmtId="194" formatCode="##,&quot; Li&quot;"/>
    <numFmt numFmtId="195" formatCode="00&quot; Li&quot;"/>
    <numFmt numFmtId="196" formatCode="0.000"/>
    <numFmt numFmtId="197" formatCode="0.0%"/>
    <numFmt numFmtId="198" formatCode="0.0000000"/>
    <numFmt numFmtId="199" formatCode="0.0000"/>
    <numFmt numFmtId="200" formatCode="0.000000"/>
    <numFmt numFmtId="201" formatCode="0.00000000000000%"/>
    <numFmt numFmtId="202" formatCode="0.000000000000000"/>
    <numFmt numFmtId="203" formatCode="0.0000000000000000"/>
    <numFmt numFmtId="204" formatCode="0.00000"/>
    <numFmt numFmtId="205" formatCode="0.000%"/>
    <numFmt numFmtId="206" formatCode="0.00000000"/>
    <numFmt numFmtId="207" formatCode="0.000000000000"/>
    <numFmt numFmtId="208" formatCode="0.00000000000"/>
    <numFmt numFmtId="209" formatCode=".000"/>
    <numFmt numFmtId="210" formatCode="0.0000%"/>
    <numFmt numFmtId="211" formatCode="0.00000%"/>
    <numFmt numFmtId="212" formatCode="0.000000E+00"/>
    <numFmt numFmtId="213" formatCode="0.00000000E+00"/>
    <numFmt numFmtId="214" formatCode="0.00000E+00"/>
    <numFmt numFmtId="215" formatCode="0.0000000000000"/>
    <numFmt numFmtId="216" formatCode="0.00000000000000000"/>
  </numFmts>
  <fonts count="2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i/>
      <sz val="10"/>
      <name val="Arial"/>
      <family val="0"/>
    </font>
    <font>
      <sz val="8"/>
      <name val="Arial"/>
      <family val="0"/>
    </font>
    <font>
      <sz val="7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1" fillId="15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8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7" applyNumberFormat="0" applyFont="0" applyAlignment="0" applyProtection="0"/>
    <xf numFmtId="0" fontId="14" fillId="16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5" fontId="0" fillId="0" borderId="10" xfId="0" applyNumberFormat="1" applyBorder="1" applyAlignment="1" quotePrefix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7" borderId="13" xfId="0" applyNumberFormat="1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 horizontal="center"/>
    </xf>
    <xf numFmtId="196" fontId="0" fillId="0" borderId="0" xfId="0" applyNumberFormat="1" applyBorder="1" applyAlignment="1">
      <alignment horizontal="right"/>
    </xf>
    <xf numFmtId="2" fontId="1" fillId="7" borderId="13" xfId="0" applyNumberFormat="1" applyFont="1" applyFill="1" applyBorder="1" applyAlignment="1">
      <alignment horizontal="center"/>
    </xf>
    <xf numFmtId="191" fontId="1" fillId="7" borderId="13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191" fontId="0" fillId="0" borderId="0" xfId="0" applyNumberFormat="1" applyBorder="1" applyAlignment="1">
      <alignment horizontal="center"/>
    </xf>
    <xf numFmtId="196" fontId="1" fillId="18" borderId="13" xfId="0" applyNumberFormat="1" applyFont="1" applyFill="1" applyBorder="1" applyAlignment="1">
      <alignment horizontal="center"/>
    </xf>
    <xf numFmtId="199" fontId="1" fillId="7" borderId="13" xfId="0" applyNumberFormat="1" applyFont="1" applyFill="1" applyBorder="1" applyAlignment="1">
      <alignment horizontal="center"/>
    </xf>
    <xf numFmtId="197" fontId="1" fillId="7" borderId="13" xfId="0" applyNumberFormat="1" applyFont="1" applyFill="1" applyBorder="1" applyAlignment="1">
      <alignment horizontal="center"/>
    </xf>
    <xf numFmtId="199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99" fontId="0" fillId="0" borderId="14" xfId="0" applyNumberFormat="1" applyBorder="1" applyAlignment="1">
      <alignment horizontal="center"/>
    </xf>
    <xf numFmtId="20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199" fontId="1" fillId="18" borderId="15" xfId="0" applyNumberFormat="1" applyFont="1" applyFill="1" applyBorder="1" applyAlignment="1">
      <alignment horizontal="center"/>
    </xf>
    <xf numFmtId="2" fontId="1" fillId="18" borderId="16" xfId="0" applyNumberFormat="1" applyFont="1" applyFill="1" applyBorder="1" applyAlignment="1">
      <alignment horizontal="center"/>
    </xf>
    <xf numFmtId="200" fontId="0" fillId="0" borderId="14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96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right"/>
    </xf>
    <xf numFmtId="0" fontId="1" fillId="18" borderId="15" xfId="0" applyFont="1" applyFill="1" applyBorder="1" applyAlignment="1">
      <alignment horizontal="center"/>
    </xf>
    <xf numFmtId="0" fontId="1" fillId="18" borderId="16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199" fontId="1" fillId="18" borderId="16" xfId="0" applyNumberFormat="1" applyFont="1" applyFill="1" applyBorder="1" applyAlignment="1">
      <alignment horizontal="center"/>
    </xf>
    <xf numFmtId="196" fontId="0" fillId="0" borderId="0" xfId="0" applyNumberFormat="1" applyAlignment="1">
      <alignment horizontal="left"/>
    </xf>
    <xf numFmtId="196" fontId="0" fillId="0" borderId="17" xfId="0" applyNumberFormat="1" applyBorder="1" applyAlignment="1">
      <alignment horizontal="left"/>
    </xf>
    <xf numFmtId="196" fontId="0" fillId="0" borderId="18" xfId="0" applyNumberFormat="1" applyBorder="1" applyAlignment="1">
      <alignment horizontal="left"/>
    </xf>
    <xf numFmtId="196" fontId="0" fillId="0" borderId="19" xfId="0" applyNumberFormat="1" applyBorder="1" applyAlignment="1">
      <alignment horizontal="left"/>
    </xf>
    <xf numFmtId="196" fontId="0" fillId="0" borderId="0" xfId="0" applyNumberFormat="1" applyBorder="1" applyAlignment="1">
      <alignment horizontal="left"/>
    </xf>
    <xf numFmtId="196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vertical="top"/>
    </xf>
    <xf numFmtId="196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96" fontId="0" fillId="0" borderId="0" xfId="0" applyNumberFormat="1" applyAlignment="1">
      <alignment horizontal="center"/>
    </xf>
    <xf numFmtId="196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 horizontal="center"/>
    </xf>
    <xf numFmtId="197" fontId="0" fillId="0" borderId="0" xfId="0" applyNumberFormat="1" applyAlignment="1">
      <alignment horizontal="center"/>
    </xf>
    <xf numFmtId="199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204" fontId="0" fillId="0" borderId="0" xfId="0" applyNumberFormat="1" applyAlignment="1">
      <alignment horizontal="center"/>
    </xf>
    <xf numFmtId="210" fontId="0" fillId="0" borderId="0" xfId="0" applyNumberFormat="1" applyAlignment="1">
      <alignment horizontal="right"/>
    </xf>
    <xf numFmtId="1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99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204" fontId="0" fillId="0" borderId="0" xfId="0" applyNumberFormat="1" applyAlignment="1">
      <alignment horizontal="left"/>
    </xf>
    <xf numFmtId="0" fontId="0" fillId="5" borderId="21" xfId="0" applyFill="1" applyBorder="1" applyAlignment="1">
      <alignment/>
    </xf>
    <xf numFmtId="0" fontId="0" fillId="5" borderId="22" xfId="0" applyFill="1" applyBorder="1" applyAlignment="1">
      <alignment/>
    </xf>
    <xf numFmtId="0" fontId="0" fillId="5" borderId="22" xfId="0" applyFill="1" applyBorder="1" applyAlignment="1">
      <alignment horizontal="center"/>
    </xf>
    <xf numFmtId="0" fontId="0" fillId="5" borderId="22" xfId="0" applyFill="1" applyBorder="1" applyAlignment="1">
      <alignment horizontal="right"/>
    </xf>
    <xf numFmtId="0" fontId="0" fillId="5" borderId="23" xfId="0" applyFill="1" applyBorder="1" applyAlignment="1">
      <alignment/>
    </xf>
    <xf numFmtId="0" fontId="0" fillId="5" borderId="24" xfId="0" applyFill="1" applyBorder="1" applyAlignment="1">
      <alignment/>
    </xf>
    <xf numFmtId="0" fontId="0" fillId="5" borderId="25" xfId="0" applyFill="1" applyBorder="1" applyAlignment="1">
      <alignment/>
    </xf>
    <xf numFmtId="199" fontId="0" fillId="5" borderId="25" xfId="0" applyNumberFormat="1" applyFill="1" applyBorder="1" applyAlignment="1">
      <alignment horizontal="center"/>
    </xf>
    <xf numFmtId="200" fontId="0" fillId="5" borderId="25" xfId="0" applyNumberFormat="1" applyFill="1" applyBorder="1" applyAlignment="1">
      <alignment/>
    </xf>
    <xf numFmtId="0" fontId="0" fillId="5" borderId="25" xfId="0" applyFill="1" applyBorder="1" applyAlignment="1">
      <alignment horizontal="right"/>
    </xf>
    <xf numFmtId="0" fontId="3" fillId="5" borderId="25" xfId="0" applyFont="1" applyFill="1" applyBorder="1" applyAlignment="1">
      <alignment horizontal="left" vertical="center"/>
    </xf>
    <xf numFmtId="196" fontId="0" fillId="5" borderId="24" xfId="0" applyNumberFormat="1" applyFill="1" applyBorder="1" applyAlignment="1">
      <alignment horizontal="left"/>
    </xf>
    <xf numFmtId="196" fontId="0" fillId="5" borderId="25" xfId="0" applyNumberFormat="1" applyFill="1" applyBorder="1" applyAlignment="1">
      <alignment horizontal="left"/>
    </xf>
    <xf numFmtId="196" fontId="0" fillId="5" borderId="26" xfId="0" applyNumberFormat="1" applyFill="1" applyBorder="1" applyAlignment="1">
      <alignment horizontal="left"/>
    </xf>
    <xf numFmtId="196" fontId="0" fillId="5" borderId="20" xfId="0" applyNumberFormat="1" applyFill="1" applyBorder="1" applyAlignment="1">
      <alignment horizontal="left"/>
    </xf>
    <xf numFmtId="196" fontId="0" fillId="5" borderId="27" xfId="0" applyNumberFormat="1" applyFill="1" applyBorder="1" applyAlignment="1">
      <alignment horizontal="left"/>
    </xf>
    <xf numFmtId="196" fontId="1" fillId="0" borderId="0" xfId="0" applyNumberFormat="1" applyFont="1" applyAlignment="1">
      <alignment horizontal="right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5" borderId="10" xfId="0" applyFill="1" applyBorder="1" applyAlignment="1">
      <alignment horizontal="center"/>
    </xf>
    <xf numFmtId="0" fontId="0" fillId="5" borderId="10" xfId="0" applyFill="1" applyBorder="1" applyAlignment="1">
      <alignment/>
    </xf>
    <xf numFmtId="0" fontId="2" fillId="5" borderId="28" xfId="0" applyFont="1" applyFill="1" applyBorder="1" applyAlignment="1">
      <alignment/>
    </xf>
    <xf numFmtId="0" fontId="0" fillId="5" borderId="29" xfId="0" applyFill="1" applyBorder="1" applyAlignment="1">
      <alignment/>
    </xf>
    <xf numFmtId="0" fontId="0" fillId="3" borderId="13" xfId="0" applyNumberFormat="1" applyFont="1" applyFill="1" applyBorder="1" applyAlignment="1">
      <alignment horizontal="left"/>
    </xf>
    <xf numFmtId="0" fontId="1" fillId="3" borderId="13" xfId="0" applyNumberFormat="1" applyFont="1" applyFill="1" applyBorder="1" applyAlignment="1">
      <alignment horizontal="left"/>
    </xf>
    <xf numFmtId="199" fontId="1" fillId="3" borderId="13" xfId="0" applyNumberFormat="1" applyFont="1" applyFill="1" applyBorder="1" applyAlignment="1">
      <alignment horizontal="center"/>
    </xf>
    <xf numFmtId="0" fontId="1" fillId="3" borderId="13" xfId="0" applyNumberFormat="1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0" xfId="0" applyNumberFormat="1" applyFill="1" applyAlignment="1">
      <alignment horizontal="center"/>
    </xf>
    <xf numFmtId="197" fontId="0" fillId="19" borderId="0" xfId="0" applyNumberFormat="1" applyFill="1" applyAlignment="1">
      <alignment horizontal="center"/>
    </xf>
    <xf numFmtId="0" fontId="0" fillId="19" borderId="0" xfId="0" applyNumberFormat="1" applyFill="1" applyAlignment="1">
      <alignment horizontal="center" vertical="center"/>
    </xf>
    <xf numFmtId="0" fontId="4" fillId="19" borderId="30" xfId="0" applyFont="1" applyFill="1" applyBorder="1" applyAlignment="1">
      <alignment/>
    </xf>
    <xf numFmtId="0" fontId="0" fillId="19" borderId="31" xfId="0" applyFill="1" applyBorder="1" applyAlignment="1">
      <alignment/>
    </xf>
    <xf numFmtId="0" fontId="0" fillId="19" borderId="32" xfId="0" applyFill="1" applyBorder="1" applyAlignment="1">
      <alignment/>
    </xf>
    <xf numFmtId="0" fontId="0" fillId="7" borderId="33" xfId="0" applyNumberFormat="1" applyFont="1" applyFill="1" applyBorder="1" applyAlignment="1">
      <alignment horizontal="left"/>
    </xf>
    <xf numFmtId="0" fontId="22" fillId="0" borderId="0" xfId="0" applyFont="1" applyAlignment="1">
      <alignment/>
    </xf>
    <xf numFmtId="0" fontId="3" fillId="0" borderId="34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199" fontId="3" fillId="18" borderId="15" xfId="0" applyNumberFormat="1" applyFont="1" applyFill="1" applyBorder="1" applyAlignment="1">
      <alignment horizontal="center" vertical="center"/>
    </xf>
    <xf numFmtId="199" fontId="3" fillId="18" borderId="35" xfId="0" applyNumberFormat="1" applyFont="1" applyFill="1" applyBorder="1" applyAlignment="1">
      <alignment horizontal="center" vertical="center"/>
    </xf>
    <xf numFmtId="2" fontId="3" fillId="18" borderId="15" xfId="0" applyNumberFormat="1" applyFont="1" applyFill="1" applyBorder="1" applyAlignment="1">
      <alignment horizontal="center" vertical="center"/>
    </xf>
    <xf numFmtId="2" fontId="3" fillId="18" borderId="3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1FFA5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FDD0B1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8"/>
  <sheetViews>
    <sheetView tabSelected="1" workbookViewId="0" topLeftCell="A1">
      <selection activeCell="F8" sqref="F8"/>
    </sheetView>
  </sheetViews>
  <sheetFormatPr defaultColWidth="11.421875" defaultRowHeight="12.75"/>
  <cols>
    <col min="1" max="1" width="1.421875" style="0" customWidth="1"/>
    <col min="3" max="3" width="11.421875" style="2" customWidth="1"/>
    <col min="6" max="6" width="11.421875" style="2" customWidth="1"/>
    <col min="8" max="8" width="11.421875" style="1" customWidth="1"/>
    <col min="9" max="9" width="11.421875" style="2" bestFit="1" customWidth="1"/>
    <col min="14" max="14" width="1.421875" style="0" customWidth="1"/>
    <col min="16" max="16" width="11.421875" style="2" customWidth="1"/>
  </cols>
  <sheetData>
    <row r="1" spans="1:14" ht="8.25" customHeight="1" thickBot="1">
      <c r="A1" s="72"/>
      <c r="B1" s="73"/>
      <c r="C1" s="74"/>
      <c r="D1" s="73"/>
      <c r="E1" s="73"/>
      <c r="F1" s="74"/>
      <c r="G1" s="73"/>
      <c r="H1" s="75"/>
      <c r="I1" s="74"/>
      <c r="J1" s="73"/>
      <c r="K1" s="73"/>
      <c r="L1" s="73"/>
      <c r="M1" s="73"/>
      <c r="N1" s="76"/>
    </row>
    <row r="2" spans="1:15" ht="17.25">
      <c r="A2" s="77"/>
      <c r="B2" s="93" t="s">
        <v>49</v>
      </c>
      <c r="C2" s="91"/>
      <c r="D2" s="92"/>
      <c r="E2" s="94"/>
      <c r="F2" s="3"/>
      <c r="G2" s="4"/>
      <c r="H2" s="5"/>
      <c r="I2" s="3"/>
      <c r="J2" s="4"/>
      <c r="K2" s="4"/>
      <c r="L2" s="6"/>
      <c r="M2" s="7"/>
      <c r="N2" s="78"/>
      <c r="O2" s="8"/>
    </row>
    <row r="3" spans="1:15" ht="12.75">
      <c r="A3" s="77"/>
      <c r="B3" s="9"/>
      <c r="C3" s="95" t="s">
        <v>111</v>
      </c>
      <c r="D3" s="95"/>
      <c r="E3" s="96"/>
      <c r="F3" s="96"/>
      <c r="G3" s="13"/>
      <c r="H3" s="10" t="s">
        <v>112</v>
      </c>
      <c r="I3" s="10"/>
      <c r="J3" s="10"/>
      <c r="K3" s="10"/>
      <c r="L3" s="10"/>
      <c r="M3" s="106"/>
      <c r="N3" s="78"/>
      <c r="O3" s="8"/>
    </row>
    <row r="4" spans="1:15" ht="12.75">
      <c r="A4" s="77"/>
      <c r="B4" s="9"/>
      <c r="C4" s="12" t="s">
        <v>50</v>
      </c>
      <c r="D4" s="8"/>
      <c r="E4" s="8"/>
      <c r="F4" s="13"/>
      <c r="G4" s="8"/>
      <c r="H4" s="14"/>
      <c r="I4" s="13"/>
      <c r="J4" s="8"/>
      <c r="K4" s="8"/>
      <c r="L4" s="8"/>
      <c r="M4" s="11"/>
      <c r="N4" s="78"/>
      <c r="O4" s="8"/>
    </row>
    <row r="5" spans="1:15" ht="12.75">
      <c r="A5" s="77"/>
      <c r="B5" s="15"/>
      <c r="C5" s="12" t="s">
        <v>113</v>
      </c>
      <c r="D5" s="8"/>
      <c r="E5" s="14"/>
      <c r="F5" s="13"/>
      <c r="G5" s="8"/>
      <c r="H5" s="14"/>
      <c r="I5" s="13"/>
      <c r="J5" s="8"/>
      <c r="K5" s="8"/>
      <c r="L5" s="8"/>
      <c r="M5" s="11"/>
      <c r="N5" s="78"/>
      <c r="O5" s="8"/>
    </row>
    <row r="6" spans="1:15" ht="12.75">
      <c r="A6" s="77"/>
      <c r="B6" s="15"/>
      <c r="C6" s="13"/>
      <c r="D6" s="8"/>
      <c r="E6" s="14"/>
      <c r="F6" s="13"/>
      <c r="G6" s="8"/>
      <c r="H6" s="14"/>
      <c r="I6" s="13"/>
      <c r="J6" s="8"/>
      <c r="K6" s="8"/>
      <c r="L6" s="8"/>
      <c r="M6" s="11"/>
      <c r="N6" s="78"/>
      <c r="O6" s="8"/>
    </row>
    <row r="7" spans="1:25" ht="13.5">
      <c r="A7" s="77"/>
      <c r="B7" s="16" t="s">
        <v>5</v>
      </c>
      <c r="C7" s="13"/>
      <c r="D7" s="8"/>
      <c r="E7" s="8"/>
      <c r="F7" s="13"/>
      <c r="G7" s="8"/>
      <c r="H7" s="14"/>
      <c r="I7" s="13"/>
      <c r="J7" s="8"/>
      <c r="K7" s="8"/>
      <c r="L7" s="21"/>
      <c r="M7" s="11"/>
      <c r="N7" s="78"/>
      <c r="O7" s="17"/>
      <c r="P7" s="103" t="s">
        <v>110</v>
      </c>
      <c r="Q7" s="104"/>
      <c r="R7" s="104"/>
      <c r="S7" s="104"/>
      <c r="T7" s="104"/>
      <c r="U7" s="104"/>
      <c r="V7" s="104"/>
      <c r="W7" s="104"/>
      <c r="X7" s="104"/>
      <c r="Y7" s="105"/>
    </row>
    <row r="8" spans="1:15" ht="12.75">
      <c r="A8" s="77"/>
      <c r="B8" s="9"/>
      <c r="C8" s="13"/>
      <c r="D8" s="8"/>
      <c r="E8" s="14" t="s">
        <v>13</v>
      </c>
      <c r="F8" s="97">
        <v>1.056</v>
      </c>
      <c r="G8" s="8"/>
      <c r="H8" s="14"/>
      <c r="I8" s="18"/>
      <c r="J8" s="8"/>
      <c r="K8" s="18" t="s">
        <v>51</v>
      </c>
      <c r="L8" s="19">
        <f>$P$71*(F8-1)+$Q$71*(F8-1)^2+$R$71*(F8-1)^3</f>
        <v>13.80315417600001</v>
      </c>
      <c r="M8" s="11" t="s">
        <v>0</v>
      </c>
      <c r="N8" s="78"/>
      <c r="O8" s="13"/>
    </row>
    <row r="9" spans="1:15" ht="12.75">
      <c r="A9" s="77"/>
      <c r="B9" s="9"/>
      <c r="C9" s="13"/>
      <c r="D9" s="8"/>
      <c r="E9" s="14" t="s">
        <v>16</v>
      </c>
      <c r="F9" s="98">
        <v>6</v>
      </c>
      <c r="G9" s="8" t="s">
        <v>14</v>
      </c>
      <c r="H9" s="14"/>
      <c r="I9" s="18"/>
      <c r="J9" s="8"/>
      <c r="K9" s="14" t="s">
        <v>57</v>
      </c>
      <c r="L9" s="20">
        <f>F8*$P$68</f>
        <v>1054.1058528</v>
      </c>
      <c r="M9" s="11" t="s">
        <v>14</v>
      </c>
      <c r="N9" s="78"/>
      <c r="O9" s="13"/>
    </row>
    <row r="10" spans="1:15" ht="12.75">
      <c r="A10" s="77"/>
      <c r="B10" s="9"/>
      <c r="C10" s="13"/>
      <c r="D10" s="8"/>
      <c r="E10" s="14" t="s">
        <v>17</v>
      </c>
      <c r="F10" s="98">
        <v>100</v>
      </c>
      <c r="G10" s="8" t="s">
        <v>15</v>
      </c>
      <c r="H10" s="14"/>
      <c r="I10" s="13"/>
      <c r="J10" s="8"/>
      <c r="K10" s="14" t="s">
        <v>58</v>
      </c>
      <c r="L10" s="19">
        <f>F10*L9/1000</f>
        <v>105.41058528000002</v>
      </c>
      <c r="M10" s="11" t="s">
        <v>1</v>
      </c>
      <c r="N10" s="78"/>
      <c r="O10" s="8"/>
    </row>
    <row r="11" spans="1:15" ht="13.5">
      <c r="A11" s="77"/>
      <c r="B11" s="16" t="s">
        <v>6</v>
      </c>
      <c r="C11" s="8"/>
      <c r="D11" s="8"/>
      <c r="E11" s="8"/>
      <c r="F11" s="13"/>
      <c r="G11" s="8"/>
      <c r="H11" s="14"/>
      <c r="I11" s="13"/>
      <c r="J11" s="8"/>
      <c r="K11" s="18"/>
      <c r="L11" s="21"/>
      <c r="M11" s="11"/>
      <c r="N11" s="78"/>
      <c r="O11" s="13"/>
    </row>
    <row r="12" spans="1:16" ht="12.75">
      <c r="A12" s="77"/>
      <c r="B12" s="22" t="s">
        <v>54</v>
      </c>
      <c r="C12" s="13"/>
      <c r="D12" s="8"/>
      <c r="E12" s="14"/>
      <c r="F12" s="13"/>
      <c r="G12" s="8"/>
      <c r="H12" s="14"/>
      <c r="I12" s="13"/>
      <c r="J12" s="8"/>
      <c r="K12" s="8"/>
      <c r="L12" s="8"/>
      <c r="M12" s="11"/>
      <c r="N12" s="78"/>
      <c r="O12" s="8"/>
      <c r="P12" s="23"/>
    </row>
    <row r="13" spans="1:16" ht="12.75">
      <c r="A13" s="77"/>
      <c r="B13" s="22" t="s">
        <v>59</v>
      </c>
      <c r="C13" s="13"/>
      <c r="D13" s="8"/>
      <c r="E13" s="14"/>
      <c r="F13" s="13"/>
      <c r="G13" s="8"/>
      <c r="H13" s="14"/>
      <c r="I13" s="13"/>
      <c r="J13" s="8"/>
      <c r="K13" s="8"/>
      <c r="L13" s="8"/>
      <c r="M13" s="11"/>
      <c r="N13" s="78"/>
      <c r="O13" s="8"/>
      <c r="P13" s="23" t="s">
        <v>115</v>
      </c>
    </row>
    <row r="14" spans="1:17" ht="12.75">
      <c r="A14" s="77"/>
      <c r="B14" s="9"/>
      <c r="C14" s="13"/>
      <c r="D14" s="8"/>
      <c r="E14" s="8"/>
      <c r="F14" s="13"/>
      <c r="G14" s="8"/>
      <c r="H14" s="14"/>
      <c r="I14" s="13"/>
      <c r="J14" s="8"/>
      <c r="K14" s="14" t="s">
        <v>55</v>
      </c>
      <c r="L14" s="20">
        <f>$P$14*(F8-1)</f>
        <v>119.2800000000001</v>
      </c>
      <c r="M14" s="11" t="s">
        <v>14</v>
      </c>
      <c r="N14" s="78"/>
      <c r="O14" s="8"/>
      <c r="P14" s="99">
        <v>2130</v>
      </c>
      <c r="Q14" t="s">
        <v>130</v>
      </c>
    </row>
    <row r="15" spans="1:15" ht="12.75">
      <c r="A15" s="77"/>
      <c r="B15" s="9"/>
      <c r="C15" s="13"/>
      <c r="D15" s="8"/>
      <c r="E15" s="8"/>
      <c r="F15" s="13"/>
      <c r="G15" s="8"/>
      <c r="H15" s="14"/>
      <c r="I15" s="13"/>
      <c r="J15" s="8"/>
      <c r="K15" s="14" t="s">
        <v>52</v>
      </c>
      <c r="L15" s="20">
        <f>L8*L9/100</f>
        <v>145.49985604022373</v>
      </c>
      <c r="M15" s="11" t="s">
        <v>14</v>
      </c>
      <c r="N15" s="78"/>
      <c r="O15" s="8"/>
    </row>
    <row r="16" spans="1:16" ht="12.75">
      <c r="A16" s="77"/>
      <c r="B16" s="22" t="s">
        <v>56</v>
      </c>
      <c r="C16" s="12"/>
      <c r="D16" s="8"/>
      <c r="E16" s="8"/>
      <c r="F16" s="13"/>
      <c r="G16" s="8"/>
      <c r="H16" s="14"/>
      <c r="I16" s="14"/>
      <c r="J16" s="8"/>
      <c r="K16" s="24"/>
      <c r="L16" s="8"/>
      <c r="M16" s="11"/>
      <c r="N16" s="78"/>
      <c r="O16" s="13"/>
      <c r="P16" s="23"/>
    </row>
    <row r="17" spans="1:16" ht="12.75">
      <c r="A17" s="77"/>
      <c r="B17" s="9"/>
      <c r="C17" s="13"/>
      <c r="D17" s="8"/>
      <c r="E17" s="14" t="s">
        <v>18</v>
      </c>
      <c r="F17" s="98">
        <v>0</v>
      </c>
      <c r="G17" s="12" t="s">
        <v>2</v>
      </c>
      <c r="H17" s="14"/>
      <c r="I17" s="14"/>
      <c r="J17" s="8"/>
      <c r="K17" s="14" t="s">
        <v>53</v>
      </c>
      <c r="L17" s="20">
        <f>MIN(L15,L14*(1+F17/100))</f>
        <v>119.2800000000001</v>
      </c>
      <c r="M17" s="11" t="s">
        <v>14</v>
      </c>
      <c r="N17" s="78"/>
      <c r="O17" s="13"/>
      <c r="P17" s="23" t="s">
        <v>116</v>
      </c>
    </row>
    <row r="18" spans="1:17" ht="12.75">
      <c r="A18" s="77"/>
      <c r="B18" s="9"/>
      <c r="C18" s="13"/>
      <c r="D18" s="8"/>
      <c r="E18" s="8"/>
      <c r="F18" s="13"/>
      <c r="G18" s="8"/>
      <c r="H18" s="24"/>
      <c r="I18" s="13"/>
      <c r="J18" s="8"/>
      <c r="K18" s="14" t="s">
        <v>114</v>
      </c>
      <c r="L18" s="27">
        <f>$P$18*L17/100</f>
        <v>0.07156800000000006</v>
      </c>
      <c r="M18" s="11"/>
      <c r="N18" s="78"/>
      <c r="O18" s="8"/>
      <c r="P18" s="99">
        <v>0.06</v>
      </c>
      <c r="Q18" t="s">
        <v>131</v>
      </c>
    </row>
    <row r="19" spans="1:15" ht="13.5">
      <c r="A19" s="77"/>
      <c r="B19" s="16" t="s">
        <v>7</v>
      </c>
      <c r="C19" s="13"/>
      <c r="D19" s="8"/>
      <c r="E19" s="8"/>
      <c r="F19" s="13"/>
      <c r="G19" s="8"/>
      <c r="H19" s="14"/>
      <c r="I19" s="13"/>
      <c r="J19" s="8"/>
      <c r="K19" s="8"/>
      <c r="L19" s="8"/>
      <c r="M19" s="11"/>
      <c r="N19" s="78"/>
      <c r="O19" s="8"/>
    </row>
    <row r="20" spans="1:15" ht="12.75">
      <c r="A20" s="77"/>
      <c r="B20" s="22" t="s">
        <v>60</v>
      </c>
      <c r="C20" s="13"/>
      <c r="D20" s="8"/>
      <c r="E20" s="14"/>
      <c r="F20" s="13"/>
      <c r="G20" s="8"/>
      <c r="H20" s="14"/>
      <c r="I20" s="13"/>
      <c r="J20" s="8"/>
      <c r="K20" s="8"/>
      <c r="L20" s="8"/>
      <c r="M20" s="11"/>
      <c r="N20" s="78"/>
      <c r="O20" s="8"/>
    </row>
    <row r="21" spans="1:16" ht="12.75">
      <c r="A21" s="77"/>
      <c r="B21" s="22" t="s">
        <v>153</v>
      </c>
      <c r="C21" s="13"/>
      <c r="D21" s="8"/>
      <c r="E21" s="14"/>
      <c r="F21" s="13"/>
      <c r="G21" s="8"/>
      <c r="H21" s="14"/>
      <c r="I21" s="13"/>
      <c r="J21" s="8"/>
      <c r="K21" s="8"/>
      <c r="L21" s="8"/>
      <c r="M21" s="11"/>
      <c r="N21" s="78"/>
      <c r="O21" s="8"/>
      <c r="P21" s="23" t="s">
        <v>171</v>
      </c>
    </row>
    <row r="22" spans="1:20" ht="12.75">
      <c r="A22" s="77"/>
      <c r="B22" s="9"/>
      <c r="C22" s="13"/>
      <c r="D22" s="8"/>
      <c r="E22" s="14" t="s">
        <v>61</v>
      </c>
      <c r="F22" s="98">
        <v>7</v>
      </c>
      <c r="G22" s="8" t="s">
        <v>14</v>
      </c>
      <c r="H22" s="14"/>
      <c r="I22" s="13"/>
      <c r="J22" s="8"/>
      <c r="K22" s="14" t="s">
        <v>63</v>
      </c>
      <c r="L22" s="25">
        <f>F22*F10/1000</f>
        <v>0.7</v>
      </c>
      <c r="M22" s="11" t="s">
        <v>74</v>
      </c>
      <c r="N22" s="78"/>
      <c r="O22" s="8"/>
      <c r="P22" s="114" t="s">
        <v>159</v>
      </c>
      <c r="Q22" s="114"/>
      <c r="S22" s="114" t="s">
        <v>162</v>
      </c>
      <c r="T22" s="114"/>
    </row>
    <row r="23" spans="1:20" ht="12.75">
      <c r="A23" s="77"/>
      <c r="B23" s="9"/>
      <c r="C23" s="13"/>
      <c r="D23" s="8"/>
      <c r="E23" s="14" t="s">
        <v>62</v>
      </c>
      <c r="F23" s="98">
        <v>5</v>
      </c>
      <c r="G23" s="8" t="s">
        <v>19</v>
      </c>
      <c r="H23" s="14"/>
      <c r="I23" s="13"/>
      <c r="J23" s="8"/>
      <c r="K23" s="14" t="s">
        <v>63</v>
      </c>
      <c r="L23" s="25">
        <f>F23*F10/1000</f>
        <v>0.5</v>
      </c>
      <c r="M23" s="11" t="s">
        <v>75</v>
      </c>
      <c r="N23" s="78"/>
      <c r="O23" s="21"/>
      <c r="P23" s="114" t="s">
        <v>175</v>
      </c>
      <c r="Q23" s="114"/>
      <c r="S23" s="114" t="s">
        <v>174</v>
      </c>
      <c r="T23" s="114"/>
    </row>
    <row r="24" spans="1:20" ht="12.75">
      <c r="A24" s="77"/>
      <c r="B24" s="22"/>
      <c r="C24" s="13"/>
      <c r="D24" s="8"/>
      <c r="E24" s="14"/>
      <c r="F24" s="13"/>
      <c r="G24" s="8"/>
      <c r="H24" s="14" t="s">
        <v>64</v>
      </c>
      <c r="I24" s="26">
        <f>G85</f>
        <v>1.0581522384863429</v>
      </c>
      <c r="J24" s="8"/>
      <c r="K24" s="14" t="s">
        <v>66</v>
      </c>
      <c r="L24" s="19">
        <f>(I24-F8)*1000</f>
        <v>2.152238486342828</v>
      </c>
      <c r="M24" s="11" t="s">
        <v>67</v>
      </c>
      <c r="N24" s="78"/>
      <c r="O24" s="8"/>
      <c r="P24" s="2" t="s">
        <v>161</v>
      </c>
      <c r="Q24" s="2" t="s">
        <v>160</v>
      </c>
      <c r="S24" s="2" t="s">
        <v>161</v>
      </c>
      <c r="T24" s="2" t="s">
        <v>160</v>
      </c>
    </row>
    <row r="25" spans="1:20" ht="12.75">
      <c r="A25" s="77"/>
      <c r="B25" s="22"/>
      <c r="C25" s="13"/>
      <c r="D25" s="8"/>
      <c r="E25" s="8"/>
      <c r="F25" s="13"/>
      <c r="G25" s="8"/>
      <c r="H25" s="18" t="s">
        <v>65</v>
      </c>
      <c r="I25" s="19">
        <f>G74</f>
        <v>14.304502553757601</v>
      </c>
      <c r="J25" s="8"/>
      <c r="K25" s="14" t="s">
        <v>114</v>
      </c>
      <c r="L25" s="27">
        <f>$P$18*G64/G82/100</f>
        <v>0.07506847805209332</v>
      </c>
      <c r="M25" s="11"/>
      <c r="N25" s="78"/>
      <c r="O25" s="8"/>
      <c r="Q25" s="2" t="s">
        <v>163</v>
      </c>
      <c r="S25" s="2"/>
      <c r="T25" s="2" t="s">
        <v>164</v>
      </c>
    </row>
    <row r="26" spans="1:20" ht="13.5">
      <c r="A26" s="77"/>
      <c r="B26" s="16" t="s">
        <v>8</v>
      </c>
      <c r="C26" s="13"/>
      <c r="D26" s="8"/>
      <c r="E26" s="14"/>
      <c r="F26" s="28"/>
      <c r="G26" s="8"/>
      <c r="H26" s="14"/>
      <c r="I26" s="14"/>
      <c r="J26" s="29"/>
      <c r="K26" s="8"/>
      <c r="L26" s="14"/>
      <c r="M26" s="30"/>
      <c r="N26" s="79"/>
      <c r="O26" s="8"/>
      <c r="P26" s="99" t="s">
        <v>154</v>
      </c>
      <c r="Q26" s="2"/>
      <c r="S26" s="99" t="s">
        <v>169</v>
      </c>
      <c r="T26" s="2"/>
    </row>
    <row r="27" spans="1:20" ht="13.5" thickBot="1">
      <c r="A27" s="77"/>
      <c r="B27" s="22" t="s">
        <v>71</v>
      </c>
      <c r="C27" s="12"/>
      <c r="D27" s="8"/>
      <c r="E27" s="14"/>
      <c r="F27" s="13"/>
      <c r="G27" s="8"/>
      <c r="H27" s="14"/>
      <c r="I27" s="31"/>
      <c r="J27" s="8"/>
      <c r="K27" s="8"/>
      <c r="L27" s="8"/>
      <c r="M27" s="11"/>
      <c r="N27" s="78"/>
      <c r="O27" s="8"/>
      <c r="Q27" s="99">
        <v>0.8</v>
      </c>
      <c r="S27" s="2"/>
      <c r="T27" s="99">
        <v>1</v>
      </c>
    </row>
    <row r="28" spans="1:20" ht="13.5" thickBot="1">
      <c r="A28" s="77"/>
      <c r="B28" s="22"/>
      <c r="C28" s="13"/>
      <c r="D28" s="8"/>
      <c r="E28" s="14" t="s">
        <v>68</v>
      </c>
      <c r="F28" s="98">
        <v>0</v>
      </c>
      <c r="G28" s="8" t="s">
        <v>14</v>
      </c>
      <c r="H28" s="14"/>
      <c r="I28" s="13"/>
      <c r="J28" s="8"/>
      <c r="K28" s="32" t="s">
        <v>13</v>
      </c>
      <c r="L28" s="33">
        <f>I85</f>
        <v>0.9996879349290663</v>
      </c>
      <c r="M28" s="11"/>
      <c r="N28" s="78"/>
      <c r="O28" s="8"/>
      <c r="P28" s="99" t="s">
        <v>155</v>
      </c>
      <c r="Q28" s="2"/>
      <c r="S28" s="99" t="s">
        <v>168</v>
      </c>
      <c r="T28" s="2"/>
    </row>
    <row r="29" spans="1:20" ht="13.5" thickBot="1">
      <c r="A29" s="77"/>
      <c r="B29" s="22"/>
      <c r="C29" s="12"/>
      <c r="D29" s="8"/>
      <c r="E29" s="14"/>
      <c r="F29" s="13"/>
      <c r="G29" s="8"/>
      <c r="H29" s="14"/>
      <c r="I29" s="13"/>
      <c r="J29" s="8"/>
      <c r="K29" s="32" t="s">
        <v>69</v>
      </c>
      <c r="L29" s="34">
        <f>I86</f>
        <v>7.453984691035577</v>
      </c>
      <c r="M29" s="11" t="s">
        <v>70</v>
      </c>
      <c r="N29" s="78"/>
      <c r="O29" s="8"/>
      <c r="Q29" s="99">
        <v>1.3</v>
      </c>
      <c r="S29" s="2"/>
      <c r="T29" s="99">
        <v>9</v>
      </c>
    </row>
    <row r="30" spans="1:20" ht="13.5">
      <c r="A30" s="77"/>
      <c r="B30" s="16" t="s">
        <v>9</v>
      </c>
      <c r="C30" s="13"/>
      <c r="D30" s="8"/>
      <c r="E30" s="8"/>
      <c r="F30" s="13"/>
      <c r="G30" s="8"/>
      <c r="H30" s="14"/>
      <c r="I30" s="13"/>
      <c r="J30" s="8"/>
      <c r="K30" s="8"/>
      <c r="L30" s="8"/>
      <c r="M30" s="35"/>
      <c r="N30" s="80"/>
      <c r="O30" s="8"/>
      <c r="P30" s="99" t="s">
        <v>156</v>
      </c>
      <c r="Q30" s="2"/>
      <c r="S30" s="99" t="s">
        <v>167</v>
      </c>
      <c r="T30" s="2"/>
    </row>
    <row r="31" spans="1:21" ht="12.75" customHeight="1">
      <c r="A31" s="77"/>
      <c r="B31" s="36" t="s">
        <v>72</v>
      </c>
      <c r="C31" s="37"/>
      <c r="D31" s="38"/>
      <c r="E31" s="38"/>
      <c r="F31" s="39"/>
      <c r="G31" s="8"/>
      <c r="H31" s="14"/>
      <c r="I31" s="14"/>
      <c r="J31" s="28"/>
      <c r="K31" s="8"/>
      <c r="L31" s="8"/>
      <c r="M31" s="11"/>
      <c r="N31" s="78"/>
      <c r="O31" s="8"/>
      <c r="Q31" s="99">
        <v>3</v>
      </c>
      <c r="S31" s="2"/>
      <c r="T31" s="99">
        <v>28</v>
      </c>
      <c r="U31" t="s">
        <v>172</v>
      </c>
    </row>
    <row r="32" spans="1:20" ht="12.75" customHeight="1">
      <c r="A32" s="77"/>
      <c r="B32" s="36"/>
      <c r="C32" s="37"/>
      <c r="D32" s="38"/>
      <c r="E32" s="14" t="s">
        <v>73</v>
      </c>
      <c r="F32" s="98">
        <v>19</v>
      </c>
      <c r="G32" s="8" t="s">
        <v>15</v>
      </c>
      <c r="H32" s="14"/>
      <c r="I32" s="14"/>
      <c r="J32" s="28"/>
      <c r="K32" s="8"/>
      <c r="L32" s="8"/>
      <c r="M32" s="11"/>
      <c r="N32" s="78"/>
      <c r="O32" s="8"/>
      <c r="P32" s="99" t="s">
        <v>157</v>
      </c>
      <c r="Q32" s="2"/>
      <c r="S32" s="99" t="s">
        <v>166</v>
      </c>
      <c r="T32" s="2"/>
    </row>
    <row r="33" spans="1:21" ht="12.75">
      <c r="A33" s="77"/>
      <c r="B33" s="9"/>
      <c r="C33" s="13"/>
      <c r="D33" s="8"/>
      <c r="E33" s="14" t="s">
        <v>61</v>
      </c>
      <c r="F33" s="98">
        <v>12</v>
      </c>
      <c r="G33" s="8" t="s">
        <v>14</v>
      </c>
      <c r="H33" s="14"/>
      <c r="I33" s="13"/>
      <c r="J33" s="8"/>
      <c r="K33" s="14" t="s">
        <v>63</v>
      </c>
      <c r="L33" s="25">
        <f>F33*F32/1000</f>
        <v>0.228</v>
      </c>
      <c r="M33" s="11" t="s">
        <v>74</v>
      </c>
      <c r="N33" s="78"/>
      <c r="O33" s="8"/>
      <c r="Q33" s="99">
        <v>5.5</v>
      </c>
      <c r="S33" s="2"/>
      <c r="T33" s="99">
        <v>42</v>
      </c>
      <c r="U33" t="s">
        <v>173</v>
      </c>
    </row>
    <row r="34" spans="1:20" ht="12.75">
      <c r="A34" s="77"/>
      <c r="B34" s="9"/>
      <c r="C34" s="13"/>
      <c r="D34" s="8"/>
      <c r="E34" s="14" t="s">
        <v>62</v>
      </c>
      <c r="F34" s="98">
        <v>8</v>
      </c>
      <c r="G34" s="8" t="s">
        <v>19</v>
      </c>
      <c r="H34" s="14"/>
      <c r="I34" s="13"/>
      <c r="J34" s="8"/>
      <c r="K34" s="14" t="s">
        <v>63</v>
      </c>
      <c r="L34" s="25">
        <f>F34*F32/1000</f>
        <v>0.152</v>
      </c>
      <c r="M34" s="11" t="s">
        <v>75</v>
      </c>
      <c r="N34" s="78"/>
      <c r="O34" s="21"/>
      <c r="P34" s="99" t="s">
        <v>158</v>
      </c>
      <c r="Q34" s="2"/>
      <c r="S34" s="99" t="s">
        <v>165</v>
      </c>
      <c r="T34" s="2"/>
    </row>
    <row r="35" spans="1:15" ht="12.75">
      <c r="A35" s="77"/>
      <c r="B35" s="22"/>
      <c r="C35" s="13"/>
      <c r="D35" s="8"/>
      <c r="E35" s="14"/>
      <c r="F35" s="13"/>
      <c r="G35" s="8"/>
      <c r="H35" s="14" t="s">
        <v>64</v>
      </c>
      <c r="I35" s="26">
        <f>K85</f>
        <v>1.0042445180418118</v>
      </c>
      <c r="J35" s="8"/>
      <c r="K35" s="14" t="s">
        <v>66</v>
      </c>
      <c r="L35" s="19">
        <f>(I35-L28)*1000</f>
        <v>4.556583112745538</v>
      </c>
      <c r="M35" s="11" t="s">
        <v>67</v>
      </c>
      <c r="N35" s="78"/>
      <c r="O35" s="8"/>
    </row>
    <row r="36" spans="1:15" ht="14.25" thickBot="1">
      <c r="A36" s="77"/>
      <c r="B36" s="16" t="s">
        <v>10</v>
      </c>
      <c r="C36" s="13"/>
      <c r="D36" s="8"/>
      <c r="E36" s="14"/>
      <c r="F36" s="8"/>
      <c r="G36" s="8"/>
      <c r="H36" s="14"/>
      <c r="I36" s="14"/>
      <c r="J36" s="40"/>
      <c r="K36" s="8"/>
      <c r="L36" s="8"/>
      <c r="M36" s="41"/>
      <c r="N36" s="81"/>
      <c r="O36" s="8"/>
    </row>
    <row r="37" spans="1:16" ht="13.5" thickBot="1">
      <c r="A37" s="77"/>
      <c r="B37" s="9"/>
      <c r="C37" s="13"/>
      <c r="D37" s="8"/>
      <c r="E37" s="14" t="s">
        <v>68</v>
      </c>
      <c r="F37" s="98">
        <v>8</v>
      </c>
      <c r="G37" s="8" t="s">
        <v>14</v>
      </c>
      <c r="H37" s="14"/>
      <c r="I37" s="13"/>
      <c r="J37" s="109" t="s">
        <v>79</v>
      </c>
      <c r="K37" s="109"/>
      <c r="L37" s="110">
        <f>M85</f>
        <v>1.0024818763481345</v>
      </c>
      <c r="M37" s="11"/>
      <c r="N37" s="78"/>
      <c r="O37" s="8"/>
      <c r="P37" s="23" t="s">
        <v>119</v>
      </c>
    </row>
    <row r="38" spans="1:17" ht="13.5" thickBot="1">
      <c r="A38" s="77"/>
      <c r="B38" s="9"/>
      <c r="C38" s="13"/>
      <c r="D38" s="32" t="s">
        <v>20</v>
      </c>
      <c r="E38" s="42" t="str">
        <f>IF(I39&lt;Q27,P26,IF(I39&lt;Q29,P28,IF(I39&lt;Q31,P30,IF(I39&lt;Q33,P32,P34))))</f>
        <v>Pétillant</v>
      </c>
      <c r="F38" s="13"/>
      <c r="G38" s="8"/>
      <c r="H38" s="14" t="s">
        <v>76</v>
      </c>
      <c r="I38" s="19">
        <f>M61/M65</f>
        <v>2.976894493331524</v>
      </c>
      <c r="J38" s="109"/>
      <c r="K38" s="109"/>
      <c r="L38" s="111"/>
      <c r="M38" s="11"/>
      <c r="N38" s="78"/>
      <c r="O38" s="8"/>
      <c r="P38" s="99">
        <v>1.2</v>
      </c>
      <c r="Q38" t="s">
        <v>120</v>
      </c>
    </row>
    <row r="39" spans="1:15" ht="13.5" customHeight="1" thickBot="1">
      <c r="A39" s="77"/>
      <c r="B39" s="9"/>
      <c r="C39" s="13"/>
      <c r="D39" s="32" t="s">
        <v>170</v>
      </c>
      <c r="E39" s="43" t="str">
        <f>IF(F37&lt;T27,S26,IF(F37&lt;T29,S28,IF(F37&lt;T31,S30,IF(F37&lt;T33,S32,S34))))</f>
        <v>Extra-brut</v>
      </c>
      <c r="F39" s="13"/>
      <c r="G39" s="8"/>
      <c r="H39" s="14" t="s">
        <v>77</v>
      </c>
      <c r="I39" s="19">
        <f>I38/P40</f>
        <v>1.505763527228894</v>
      </c>
      <c r="J39" s="109" t="s">
        <v>80</v>
      </c>
      <c r="K39" s="109"/>
      <c r="L39" s="112">
        <f>M86</f>
        <v>7.568567669011858</v>
      </c>
      <c r="M39" s="108" t="s">
        <v>70</v>
      </c>
      <c r="N39" s="82"/>
      <c r="O39" s="8"/>
    </row>
    <row r="40" spans="1:17" ht="13.5" customHeight="1" thickBot="1">
      <c r="A40" s="77"/>
      <c r="B40" s="9"/>
      <c r="C40" s="13"/>
      <c r="D40" s="8"/>
      <c r="E40" s="8"/>
      <c r="F40" s="13"/>
      <c r="G40" s="8"/>
      <c r="H40" s="14" t="s">
        <v>78</v>
      </c>
      <c r="I40" s="19">
        <f>1000*(I35-L37)</f>
        <v>1.762641693677347</v>
      </c>
      <c r="J40" s="109"/>
      <c r="K40" s="109"/>
      <c r="L40" s="113"/>
      <c r="M40" s="108"/>
      <c r="N40" s="82"/>
      <c r="O40" s="8"/>
      <c r="P40" s="2">
        <v>1.977</v>
      </c>
      <c r="Q40" t="s">
        <v>117</v>
      </c>
    </row>
    <row r="41" spans="1:15" ht="13.5">
      <c r="A41" s="77"/>
      <c r="B41" s="16" t="s">
        <v>11</v>
      </c>
      <c r="C41" s="13"/>
      <c r="D41" s="8"/>
      <c r="E41" s="8"/>
      <c r="F41" s="13"/>
      <c r="G41" s="8"/>
      <c r="H41" s="14"/>
      <c r="I41" s="13"/>
      <c r="J41" s="8"/>
      <c r="K41" s="14"/>
      <c r="L41" s="8"/>
      <c r="M41" s="11"/>
      <c r="N41" s="78"/>
      <c r="O41" s="8"/>
    </row>
    <row r="42" spans="1:15" ht="12.75">
      <c r="A42" s="77"/>
      <c r="B42" s="22" t="s">
        <v>83</v>
      </c>
      <c r="C42" s="13"/>
      <c r="D42" s="8"/>
      <c r="E42" s="14"/>
      <c r="F42" s="13"/>
      <c r="G42" s="12" t="s">
        <v>84</v>
      </c>
      <c r="I42" s="13"/>
      <c r="J42" s="8"/>
      <c r="K42" s="8"/>
      <c r="L42" s="8"/>
      <c r="M42" s="11"/>
      <c r="N42" s="78"/>
      <c r="O42" s="44"/>
    </row>
    <row r="43" spans="1:16" ht="13.5" thickBot="1">
      <c r="A43" s="77"/>
      <c r="B43" s="22"/>
      <c r="C43" s="13"/>
      <c r="D43" s="14" t="s">
        <v>81</v>
      </c>
      <c r="E43" s="20">
        <f>M59/M65</f>
        <v>33.59637060870612</v>
      </c>
      <c r="F43" s="8" t="s">
        <v>14</v>
      </c>
      <c r="G43" s="8"/>
      <c r="H43" s="14" t="s">
        <v>85</v>
      </c>
      <c r="I43" s="26">
        <f>1+E43/P46</f>
        <v>1.012882043945056</v>
      </c>
      <c r="J43" s="8"/>
      <c r="K43" s="12" t="s">
        <v>88</v>
      </c>
      <c r="L43" s="8"/>
      <c r="M43" s="11"/>
      <c r="N43" s="78"/>
      <c r="O43" s="44"/>
      <c r="P43" t="s">
        <v>118</v>
      </c>
    </row>
    <row r="44" spans="1:17" ht="13.5" thickBot="1">
      <c r="A44" s="77"/>
      <c r="B44" s="22"/>
      <c r="C44" s="13"/>
      <c r="D44" s="14" t="s">
        <v>82</v>
      </c>
      <c r="E44" s="20">
        <f>E43-F37</f>
        <v>25.596370608706117</v>
      </c>
      <c r="F44" s="8" t="s">
        <v>14</v>
      </c>
      <c r="G44" s="8"/>
      <c r="H44" s="14" t="s">
        <v>86</v>
      </c>
      <c r="I44" s="26">
        <f>I43-L37</f>
        <v>0.010400167596921639</v>
      </c>
      <c r="J44" s="8"/>
      <c r="K44" s="32" t="s">
        <v>80</v>
      </c>
      <c r="L44" s="34">
        <f>$Q$44*I44+$P$44*I44^2</f>
        <v>7.525741689824081</v>
      </c>
      <c r="M44" s="11" t="s">
        <v>70</v>
      </c>
      <c r="N44" s="78"/>
      <c r="O44" s="44"/>
      <c r="P44" s="2">
        <v>8040</v>
      </c>
      <c r="Q44" s="2">
        <v>640</v>
      </c>
    </row>
    <row r="45" spans="1:15" ht="13.5">
      <c r="A45" s="77"/>
      <c r="B45" s="16" t="s">
        <v>12</v>
      </c>
      <c r="C45" s="13"/>
      <c r="D45" s="8"/>
      <c r="E45" s="8"/>
      <c r="F45" s="13"/>
      <c r="G45" s="8"/>
      <c r="H45" s="14"/>
      <c r="I45" s="13"/>
      <c r="J45" s="8"/>
      <c r="K45" s="8"/>
      <c r="L45" s="8"/>
      <c r="M45" s="11"/>
      <c r="N45" s="78"/>
      <c r="O45" s="8"/>
    </row>
    <row r="46" spans="1:17" ht="12.75">
      <c r="A46" s="77"/>
      <c r="B46" s="22" t="s">
        <v>87</v>
      </c>
      <c r="C46" s="13"/>
      <c r="D46" s="8"/>
      <c r="E46" s="14"/>
      <c r="F46" s="13"/>
      <c r="G46" s="8"/>
      <c r="H46" s="14"/>
      <c r="I46" s="13"/>
      <c r="J46" s="8"/>
      <c r="K46" s="8"/>
      <c r="L46" s="8"/>
      <c r="M46" s="11"/>
      <c r="N46" s="78"/>
      <c r="O46" s="44"/>
      <c r="P46" s="2">
        <v>2608</v>
      </c>
      <c r="Q46" t="s">
        <v>129</v>
      </c>
    </row>
    <row r="47" spans="1:17" ht="12.75">
      <c r="A47" s="77"/>
      <c r="B47" s="9"/>
      <c r="C47" s="12" t="s">
        <v>89</v>
      </c>
      <c r="D47" s="8"/>
      <c r="E47" s="14"/>
      <c r="F47" s="13"/>
      <c r="G47" s="8"/>
      <c r="H47" s="14"/>
      <c r="I47" s="13"/>
      <c r="J47" s="8"/>
      <c r="K47" s="8"/>
      <c r="L47" s="8"/>
      <c r="M47" s="11"/>
      <c r="N47" s="78"/>
      <c r="O47" s="8"/>
      <c r="Q47" t="s">
        <v>121</v>
      </c>
    </row>
    <row r="48" spans="1:15" ht="12.75">
      <c r="A48" s="77"/>
      <c r="B48" s="9"/>
      <c r="C48" s="13"/>
      <c r="D48" s="8"/>
      <c r="E48" s="14" t="s">
        <v>90</v>
      </c>
      <c r="F48" s="98">
        <v>40</v>
      </c>
      <c r="G48" s="8" t="s">
        <v>2</v>
      </c>
      <c r="H48" s="14"/>
      <c r="I48" s="13"/>
      <c r="J48" s="8"/>
      <c r="K48" s="14" t="s">
        <v>92</v>
      </c>
      <c r="L48" s="20">
        <f>F9*I54/M82</f>
        <v>5.857261203278211</v>
      </c>
      <c r="M48" s="11" t="s">
        <v>14</v>
      </c>
      <c r="N48" s="78"/>
      <c r="O48" s="8"/>
    </row>
    <row r="49" spans="1:15" ht="13.5" thickBot="1">
      <c r="A49" s="77"/>
      <c r="B49" s="9"/>
      <c r="C49" s="13"/>
      <c r="D49" s="8"/>
      <c r="E49" s="8"/>
      <c r="F49" s="13"/>
      <c r="G49" s="8"/>
      <c r="H49" s="14"/>
      <c r="I49" s="13"/>
      <c r="J49" s="8"/>
      <c r="K49" s="14" t="s">
        <v>91</v>
      </c>
      <c r="L49" s="20">
        <f>(1-F48/100)*L48+L48*F48/200</f>
        <v>4.68580896262257</v>
      </c>
      <c r="M49" s="11" t="s">
        <v>14</v>
      </c>
      <c r="N49" s="78"/>
      <c r="O49" s="8"/>
    </row>
    <row r="50" spans="1:15" ht="13.5" thickBot="1">
      <c r="A50" s="77"/>
      <c r="B50" s="9"/>
      <c r="C50" s="13"/>
      <c r="D50" s="14" t="s">
        <v>21</v>
      </c>
      <c r="E50" s="20">
        <f>L39/(I35-I50+I24-L28)</f>
        <v>124.48113967075167</v>
      </c>
      <c r="F50" s="13"/>
      <c r="G50" s="8"/>
      <c r="H50" s="14" t="s">
        <v>93</v>
      </c>
      <c r="I50" s="45">
        <f>L92/P68</f>
        <v>1.0019079027688909</v>
      </c>
      <c r="J50" s="8"/>
      <c r="K50" s="14" t="s">
        <v>66</v>
      </c>
      <c r="L50" s="19">
        <f>1000*(I50-L37)</f>
        <v>-0.5739735792436029</v>
      </c>
      <c r="M50" s="11" t="s">
        <v>67</v>
      </c>
      <c r="N50" s="78"/>
      <c r="O50" s="8"/>
    </row>
    <row r="51" spans="1:15" s="46" customFormat="1" ht="12.75" customHeight="1" thickBot="1">
      <c r="A51" s="83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84"/>
      <c r="O51" s="50"/>
    </row>
    <row r="52" spans="1:15" s="46" customFormat="1" ht="8.25" customHeight="1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7"/>
      <c r="O52" s="50"/>
    </row>
    <row r="53" spans="4:14" s="46" customFormat="1" ht="12.75"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2:10" s="46" customFormat="1" ht="13.5">
      <c r="B54" s="53" t="s">
        <v>35</v>
      </c>
      <c r="H54" s="51" t="s">
        <v>36</v>
      </c>
      <c r="I54" s="100">
        <v>1</v>
      </c>
      <c r="J54" s="46" t="s">
        <v>177</v>
      </c>
    </row>
    <row r="55" s="46" customFormat="1" ht="12.75">
      <c r="B55" s="46" t="s">
        <v>39</v>
      </c>
    </row>
    <row r="56" s="46" customFormat="1" ht="12.75">
      <c r="B56" s="46" t="s">
        <v>42</v>
      </c>
    </row>
    <row r="57" spans="4:20" s="54" customFormat="1" ht="26.25">
      <c r="D57" s="88" t="s">
        <v>28</v>
      </c>
      <c r="E57" s="54" t="s">
        <v>22</v>
      </c>
      <c r="F57" s="54" t="s">
        <v>37</v>
      </c>
      <c r="G57" s="54" t="s">
        <v>23</v>
      </c>
      <c r="H57" s="54" t="s">
        <v>24</v>
      </c>
      <c r="I57" s="54" t="s">
        <v>25</v>
      </c>
      <c r="J57" s="54" t="s">
        <v>38</v>
      </c>
      <c r="K57" s="54" t="s">
        <v>27</v>
      </c>
      <c r="L57" s="54" t="s">
        <v>24</v>
      </c>
      <c r="M57" s="54" t="s">
        <v>26</v>
      </c>
      <c r="Q57" s="55"/>
      <c r="R57" s="55"/>
      <c r="S57" s="55"/>
      <c r="T57" s="55"/>
    </row>
    <row r="58" spans="4:20" s="46" customFormat="1" ht="12.75">
      <c r="D58" s="51" t="s">
        <v>29</v>
      </c>
      <c r="E58" s="52">
        <f>I54*L9-E59</f>
        <v>908.6059967597764</v>
      </c>
      <c r="F58" s="52">
        <f>E65*F23*P68/1000</f>
        <v>4.9910315</v>
      </c>
      <c r="G58" s="52">
        <f>E58+F58</f>
        <v>913.5970282597764</v>
      </c>
      <c r="H58" s="52">
        <v>0</v>
      </c>
      <c r="I58" s="52">
        <f>G58+H58</f>
        <v>913.5970282597764</v>
      </c>
      <c r="J58" s="52">
        <f>F34*P68/1000*I65</f>
        <v>8.05647641928526</v>
      </c>
      <c r="K58" s="52">
        <f>I58+J58</f>
        <v>921.6535046790616</v>
      </c>
      <c r="L58" s="52">
        <v>0</v>
      </c>
      <c r="M58" s="52">
        <f>K58+L58</f>
        <v>921.6535046790616</v>
      </c>
      <c r="N58" s="52"/>
      <c r="R58" s="56"/>
      <c r="S58" s="56"/>
      <c r="T58"/>
    </row>
    <row r="59" spans="4:20" s="46" customFormat="1" ht="12.75">
      <c r="D59" s="51" t="s">
        <v>40</v>
      </c>
      <c r="E59" s="52">
        <f>L15*I54</f>
        <v>145.49985604022373</v>
      </c>
      <c r="F59" s="52">
        <f>E65*F22</f>
        <v>7</v>
      </c>
      <c r="G59" s="52">
        <f>E59+F59</f>
        <v>152.49985604022373</v>
      </c>
      <c r="H59" s="52">
        <f>H64</f>
        <v>-126.2800000000001</v>
      </c>
      <c r="I59" s="52">
        <f>G59+H59</f>
        <v>26.219856040223632</v>
      </c>
      <c r="J59" s="52">
        <f>J64</f>
        <v>12.106429932297452</v>
      </c>
      <c r="K59" s="52">
        <f>I59+J59</f>
        <v>38.326285972521084</v>
      </c>
      <c r="L59" s="52">
        <f>L64</f>
        <v>-3.911187062570349</v>
      </c>
      <c r="M59" s="52">
        <f>K59+L59</f>
        <v>34.415098909950736</v>
      </c>
      <c r="N59" s="52"/>
      <c r="P59" s="46" t="s">
        <v>128</v>
      </c>
      <c r="S59" s="56"/>
      <c r="T59"/>
    </row>
    <row r="60" spans="4:20" s="46" customFormat="1" ht="12.75">
      <c r="D60" s="51" t="s">
        <v>30</v>
      </c>
      <c r="E60" s="52">
        <v>0</v>
      </c>
      <c r="F60" s="52">
        <v>0</v>
      </c>
      <c r="G60" s="52">
        <f>E60+F60</f>
        <v>0</v>
      </c>
      <c r="H60" s="52">
        <f>-H64*$P$60</f>
        <v>59.35160000000005</v>
      </c>
      <c r="I60" s="52">
        <f>G60+H60</f>
        <v>59.35160000000005</v>
      </c>
      <c r="J60" s="52">
        <v>0</v>
      </c>
      <c r="K60" s="52">
        <f>I60+J60</f>
        <v>59.35160000000005</v>
      </c>
      <c r="L60" s="52">
        <f>-L64*$P$60</f>
        <v>1.838257919408064</v>
      </c>
      <c r="M60" s="52">
        <f>K60+L60</f>
        <v>61.18985791940811</v>
      </c>
      <c r="N60" s="52"/>
      <c r="P60" s="101">
        <v>0.47</v>
      </c>
      <c r="Q60" t="s">
        <v>122</v>
      </c>
      <c r="S60" s="56"/>
      <c r="T60"/>
    </row>
    <row r="61" spans="4:20" s="46" customFormat="1" ht="12.75">
      <c r="D61" s="51" t="s">
        <v>31</v>
      </c>
      <c r="E61" s="52">
        <v>0</v>
      </c>
      <c r="F61" s="52">
        <v>0</v>
      </c>
      <c r="G61" s="52">
        <f>E61+F61</f>
        <v>0</v>
      </c>
      <c r="H61" s="52">
        <f>-H64*$P$61</f>
        <v>59.35160000000005</v>
      </c>
      <c r="I61" s="52">
        <f>P38*G65</f>
        <v>1.211182141416342</v>
      </c>
      <c r="J61" s="52">
        <v>0</v>
      </c>
      <c r="K61" s="52">
        <f>I61+J61</f>
        <v>1.211182141416342</v>
      </c>
      <c r="L61" s="52">
        <f>-L64*$P$61</f>
        <v>1.838257919408064</v>
      </c>
      <c r="M61" s="52">
        <f>K61+L61</f>
        <v>3.0494400608244057</v>
      </c>
      <c r="N61" s="52"/>
      <c r="P61" s="101">
        <v>0.47</v>
      </c>
      <c r="Q61" t="s">
        <v>123</v>
      </c>
      <c r="S61" s="56"/>
      <c r="T61"/>
    </row>
    <row r="62" spans="4:20" s="46" customFormat="1" ht="12.75">
      <c r="D62" s="57" t="s">
        <v>32</v>
      </c>
      <c r="E62" s="58">
        <v>0</v>
      </c>
      <c r="F62" s="58">
        <v>0</v>
      </c>
      <c r="G62" s="58">
        <f>E62+F62</f>
        <v>0</v>
      </c>
      <c r="H62" s="58">
        <f>-H64*$P$62</f>
        <v>7.576800000000013</v>
      </c>
      <c r="I62" s="58">
        <f>G62+H62</f>
        <v>7.576800000000013</v>
      </c>
      <c r="J62" s="58">
        <v>0</v>
      </c>
      <c r="K62" s="58">
        <f>I62+J62</f>
        <v>7.576800000000013</v>
      </c>
      <c r="L62" s="58">
        <f>-L64*$P$62</f>
        <v>0.23467122375422114</v>
      </c>
      <c r="M62" s="58">
        <f>K62+L62</f>
        <v>7.811471223754234</v>
      </c>
      <c r="N62" s="21"/>
      <c r="P62" s="59">
        <f>1-(P60+P61)</f>
        <v>0.06000000000000005</v>
      </c>
      <c r="Q62" t="s">
        <v>124</v>
      </c>
      <c r="S62" s="56"/>
      <c r="T62"/>
    </row>
    <row r="63" spans="4:20" s="46" customFormat="1" ht="12.75">
      <c r="D63" s="51" t="s">
        <v>33</v>
      </c>
      <c r="E63" s="52">
        <f aca="true" t="shared" si="0" ref="E63:M63">SUM(E58:E62)</f>
        <v>1054.1058528</v>
      </c>
      <c r="F63" s="52">
        <f t="shared" si="0"/>
        <v>11.9910315</v>
      </c>
      <c r="G63" s="52">
        <f t="shared" si="0"/>
        <v>1066.0968843</v>
      </c>
      <c r="H63" s="52">
        <f t="shared" si="0"/>
        <v>7.105427357601002E-15</v>
      </c>
      <c r="I63" s="52">
        <f t="shared" si="0"/>
        <v>1007.9564664414164</v>
      </c>
      <c r="J63" s="52">
        <f t="shared" si="0"/>
        <v>20.162906351582713</v>
      </c>
      <c r="K63" s="52">
        <f t="shared" si="0"/>
        <v>1028.119372792999</v>
      </c>
      <c r="L63" s="52">
        <f t="shared" si="0"/>
        <v>0</v>
      </c>
      <c r="M63" s="52">
        <f t="shared" si="0"/>
        <v>1028.1193727929992</v>
      </c>
      <c r="N63" s="52"/>
      <c r="P63" s="2"/>
      <c r="Q63"/>
      <c r="S63" s="56"/>
      <c r="T63"/>
    </row>
    <row r="64" spans="4:14" s="46" customFormat="1" ht="12.75">
      <c r="D64" s="51" t="s">
        <v>34</v>
      </c>
      <c r="E64" s="52">
        <f>L17*I54</f>
        <v>119.2800000000001</v>
      </c>
      <c r="F64" s="52">
        <f>F59</f>
        <v>7</v>
      </c>
      <c r="G64" s="52">
        <f>E64+F64</f>
        <v>126.2800000000001</v>
      </c>
      <c r="H64" s="52">
        <f>I64-G64</f>
        <v>-126.2800000000001</v>
      </c>
      <c r="I64" s="52">
        <f>G65*F28</f>
        <v>0</v>
      </c>
      <c r="J64" s="52">
        <f>F33*I65</f>
        <v>12.106429932297452</v>
      </c>
      <c r="K64" s="52">
        <f>I64+J64</f>
        <v>12.106429932297452</v>
      </c>
      <c r="L64" s="52">
        <f>M64-K64</f>
        <v>-3.911187062570349</v>
      </c>
      <c r="M64" s="52">
        <f>K65*F37</f>
        <v>8.195242869727103</v>
      </c>
      <c r="N64" s="52"/>
    </row>
    <row r="65" spans="4:14" s="46" customFormat="1" ht="12.75">
      <c r="D65" s="51" t="s">
        <v>150</v>
      </c>
      <c r="E65" s="60">
        <f>I54</f>
        <v>1</v>
      </c>
      <c r="F65" s="60">
        <f>G65-E65</f>
        <v>0.00931845118028507</v>
      </c>
      <c r="G65" s="60">
        <f>G82</f>
        <v>1.009318451180285</v>
      </c>
      <c r="H65" s="60">
        <f>I65-G65</f>
        <v>-0.0004492901554973283</v>
      </c>
      <c r="I65" s="60">
        <f>I82</f>
        <v>1.0088691610247877</v>
      </c>
      <c r="J65" s="60">
        <f>K65-I65</f>
        <v>0.015536197691100151</v>
      </c>
      <c r="K65" s="60">
        <f>K82</f>
        <v>1.024405358715888</v>
      </c>
      <c r="L65" s="60">
        <f>M65-K65</f>
        <v>-3.581264853824706E-05</v>
      </c>
      <c r="M65" s="60">
        <f>M82</f>
        <v>1.0243695460673496</v>
      </c>
      <c r="N65" s="60"/>
    </row>
    <row r="66" spans="4:14" s="46" customFormat="1" ht="12.75">
      <c r="D66" s="51"/>
      <c r="E66" s="23"/>
      <c r="F66" s="52"/>
      <c r="G66" s="52"/>
      <c r="H66" s="56"/>
      <c r="I66" s="52"/>
      <c r="J66" s="52"/>
      <c r="K66" s="52"/>
      <c r="L66" s="52"/>
      <c r="M66" s="52"/>
      <c r="N66" s="52"/>
    </row>
    <row r="67" spans="2:22" ht="12.75">
      <c r="B67" s="61" t="s">
        <v>43</v>
      </c>
      <c r="C67" s="23"/>
      <c r="D67" s="23"/>
      <c r="E67" s="23" t="s">
        <v>44</v>
      </c>
      <c r="G67" s="54"/>
      <c r="H67" s="54"/>
      <c r="I67" s="62"/>
      <c r="J67" s="62"/>
      <c r="K67" s="62"/>
      <c r="L67" s="62"/>
      <c r="M67" s="62"/>
      <c r="N67" s="62"/>
      <c r="O67" s="62"/>
      <c r="P67"/>
      <c r="V67" s="2"/>
    </row>
    <row r="68" spans="2:22" ht="12.75">
      <c r="B68" s="23" t="s">
        <v>45</v>
      </c>
      <c r="C68"/>
      <c r="E68" s="63"/>
      <c r="F68"/>
      <c r="G68" s="2"/>
      <c r="H68" s="2"/>
      <c r="I68" s="1"/>
      <c r="J68" s="1"/>
      <c r="K68" s="1"/>
      <c r="L68" s="1"/>
      <c r="M68" s="1"/>
      <c r="N68" s="1"/>
      <c r="O68" s="1"/>
      <c r="P68" s="2">
        <v>998.2063</v>
      </c>
      <c r="Q68" t="s">
        <v>125</v>
      </c>
      <c r="S68" s="64"/>
      <c r="U68" s="23"/>
      <c r="V68" s="2"/>
    </row>
    <row r="69" spans="2:24" ht="12.75">
      <c r="B69" s="2"/>
      <c r="C69"/>
      <c r="D69" s="51" t="s">
        <v>41</v>
      </c>
      <c r="E69" s="52"/>
      <c r="F69" s="52"/>
      <c r="G69" s="52">
        <f>G58+G62</f>
        <v>913.5970282597764</v>
      </c>
      <c r="H69" s="52"/>
      <c r="I69" s="52">
        <f>I58+I62</f>
        <v>921.1738282597764</v>
      </c>
      <c r="J69" s="52"/>
      <c r="K69" s="52">
        <f>K58+K62</f>
        <v>929.2303046790616</v>
      </c>
      <c r="L69" s="52"/>
      <c r="M69" s="52">
        <f>M58+M62</f>
        <v>929.4649759028158</v>
      </c>
      <c r="N69" s="52"/>
      <c r="O69" s="1"/>
      <c r="P69"/>
      <c r="R69" s="63"/>
      <c r="S69" s="63"/>
      <c r="U69" s="1"/>
      <c r="V69" s="52"/>
      <c r="W69" s="63"/>
      <c r="X69" s="63"/>
    </row>
    <row r="70" spans="2:22" ht="12.75">
      <c r="B70" s="2"/>
      <c r="C70"/>
      <c r="D70" s="51" t="s">
        <v>40</v>
      </c>
      <c r="E70" s="52"/>
      <c r="F70" s="52"/>
      <c r="G70" s="52">
        <f>G59</f>
        <v>152.49985604022373</v>
      </c>
      <c r="H70" s="52"/>
      <c r="I70" s="52">
        <f>I59</f>
        <v>26.219856040223632</v>
      </c>
      <c r="J70" s="52"/>
      <c r="K70" s="52">
        <f>K59</f>
        <v>38.326285972521084</v>
      </c>
      <c r="L70" s="52"/>
      <c r="M70" s="52">
        <f>M59</f>
        <v>34.415098909950736</v>
      </c>
      <c r="N70" s="52"/>
      <c r="O70" s="1"/>
      <c r="P70" s="23" t="s">
        <v>126</v>
      </c>
      <c r="U70" s="1"/>
      <c r="V70" s="52"/>
    </row>
    <row r="71" spans="2:22" ht="12.75">
      <c r="B71" s="2"/>
      <c r="C71"/>
      <c r="D71" s="51" t="s">
        <v>30</v>
      </c>
      <c r="E71" s="52"/>
      <c r="F71" s="52"/>
      <c r="G71" s="52">
        <v>0</v>
      </c>
      <c r="H71" s="52"/>
      <c r="I71" s="52">
        <f>I60</f>
        <v>59.35160000000005</v>
      </c>
      <c r="J71" s="52"/>
      <c r="K71" s="52">
        <f>K60</f>
        <v>59.35160000000005</v>
      </c>
      <c r="L71" s="52"/>
      <c r="M71" s="52">
        <f>M60</f>
        <v>61.18985791940811</v>
      </c>
      <c r="N71" s="52"/>
      <c r="O71" s="1"/>
      <c r="P71" s="2">
        <v>258.58</v>
      </c>
      <c r="Q71" s="2">
        <v>-225.7</v>
      </c>
      <c r="R71" s="2">
        <v>173.5</v>
      </c>
      <c r="U71" s="1"/>
      <c r="V71" s="52"/>
    </row>
    <row r="72" spans="2:22" ht="12.75">
      <c r="B72" s="23" t="s">
        <v>46</v>
      </c>
      <c r="C72"/>
      <c r="D72" s="23"/>
      <c r="E72" s="2"/>
      <c r="G72" s="2"/>
      <c r="H72" s="2"/>
      <c r="J72" s="2"/>
      <c r="K72" s="2"/>
      <c r="L72" s="2"/>
      <c r="M72" s="2"/>
      <c r="N72" s="2"/>
      <c r="O72" s="1"/>
      <c r="P72"/>
      <c r="Q72" s="2"/>
      <c r="U72" s="23"/>
      <c r="V72" s="2"/>
    </row>
    <row r="73" spans="2:24" ht="12.75">
      <c r="B73" s="2"/>
      <c r="C73"/>
      <c r="D73" s="1" t="s">
        <v>97</v>
      </c>
      <c r="E73" s="52"/>
      <c r="F73" s="52"/>
      <c r="G73" s="52">
        <f>G69+G70</f>
        <v>1066.0968843</v>
      </c>
      <c r="H73" s="52"/>
      <c r="I73" s="52">
        <f>I69+I70</f>
        <v>947.3936843</v>
      </c>
      <c r="J73" s="52"/>
      <c r="K73" s="52">
        <f>K69+K70</f>
        <v>967.5565906515827</v>
      </c>
      <c r="L73" s="52"/>
      <c r="M73" s="52">
        <f>M69+M70</f>
        <v>963.8800748127666</v>
      </c>
      <c r="N73" s="52"/>
      <c r="O73" s="1"/>
      <c r="P73" s="23" t="s">
        <v>127</v>
      </c>
      <c r="S73" s="52"/>
      <c r="U73" s="1"/>
      <c r="V73" s="52"/>
      <c r="W73" s="52"/>
      <c r="X73" s="52"/>
    </row>
    <row r="74" spans="2:24" ht="12.75">
      <c r="B74" s="2"/>
      <c r="C74"/>
      <c r="D74" s="1" t="s">
        <v>145</v>
      </c>
      <c r="E74" s="52"/>
      <c r="F74" s="52"/>
      <c r="G74" s="52">
        <f>100*G70/G73</f>
        <v>14.304502553757601</v>
      </c>
      <c r="H74" s="52"/>
      <c r="I74" s="52">
        <f>100*I70/I73</f>
        <v>2.76757766857995</v>
      </c>
      <c r="J74" s="52"/>
      <c r="K74" s="52">
        <f>100*K70/K73</f>
        <v>3.9611415335108173</v>
      </c>
      <c r="L74" s="52"/>
      <c r="M74" s="52">
        <f>100*M70/M73</f>
        <v>3.5704751876560845</v>
      </c>
      <c r="N74" s="52"/>
      <c r="O74" s="1"/>
      <c r="P74" s="2">
        <v>3.8687</v>
      </c>
      <c r="Q74" s="2">
        <v>0.013048</v>
      </c>
      <c r="R74" s="2">
        <v>4.87E-05</v>
      </c>
      <c r="S74" s="2"/>
      <c r="U74" s="1"/>
      <c r="V74" s="2"/>
      <c r="W74" s="2"/>
      <c r="X74" s="2"/>
    </row>
    <row r="75" spans="2:24" ht="12.75">
      <c r="B75" s="2"/>
      <c r="C75"/>
      <c r="D75" s="1" t="s">
        <v>13</v>
      </c>
      <c r="E75" s="65"/>
      <c r="F75" s="65"/>
      <c r="G75" s="65">
        <f>1+($P$74*G74+$Q$74*G74^2+$R$74*G74^3)/1000</f>
        <v>1.0581522384863429</v>
      </c>
      <c r="H75" s="65"/>
      <c r="I75" s="65">
        <f>1+($P$74*I74+$Q$74*I74^2+$R$74*I74^3)/1000</f>
        <v>1.0108079010551934</v>
      </c>
      <c r="J75" s="65"/>
      <c r="K75" s="65">
        <f>1+($P$74*K74+$Q$74*K74^2+$R$74*K74^3)/1000</f>
        <v>1.0155322265947755</v>
      </c>
      <c r="L75" s="65"/>
      <c r="M75" s="65">
        <f>1+($P$74*M74+$Q$74*M74^2+$R$74*M74^3)/1000</f>
        <v>1.0139816537869064</v>
      </c>
      <c r="N75" s="65"/>
      <c r="O75" s="1"/>
      <c r="S75" s="60"/>
      <c r="U75" s="1"/>
      <c r="V75" s="60"/>
      <c r="W75" s="60"/>
      <c r="X75" s="60"/>
    </row>
    <row r="76" spans="2:24" ht="12.75">
      <c r="B76" s="23" t="s">
        <v>47</v>
      </c>
      <c r="C76"/>
      <c r="E76" s="2"/>
      <c r="G76" s="2"/>
      <c r="H76" s="2"/>
      <c r="I76" s="65"/>
      <c r="J76" s="2"/>
      <c r="K76" s="2"/>
      <c r="L76" s="2"/>
      <c r="M76" s="2"/>
      <c r="N76" s="2"/>
      <c r="O76" s="66"/>
      <c r="S76" s="2"/>
      <c r="U76" s="23"/>
      <c r="V76" s="2"/>
      <c r="W76" s="2"/>
      <c r="X76" s="2"/>
    </row>
    <row r="77" spans="2:24" ht="12.75">
      <c r="B77" s="2"/>
      <c r="C77"/>
      <c r="D77" s="1" t="s">
        <v>146</v>
      </c>
      <c r="E77" s="65"/>
      <c r="F77" s="65"/>
      <c r="G77" s="65">
        <f>G71/$P$77</f>
        <v>0</v>
      </c>
      <c r="H77" s="65"/>
      <c r="I77" s="65">
        <f>I71/$P$77</f>
        <v>0.07520095281536675</v>
      </c>
      <c r="J77" s="65"/>
      <c r="K77" s="65">
        <f>K71/$P$77</f>
        <v>0.07520095281536675</v>
      </c>
      <c r="L77" s="65"/>
      <c r="M77" s="65">
        <f>M71/$P$77</f>
        <v>0.07753010227485696</v>
      </c>
      <c r="N77" s="65"/>
      <c r="O77" s="23"/>
      <c r="P77" s="2">
        <v>789.24</v>
      </c>
      <c r="Q77" t="s">
        <v>132</v>
      </c>
      <c r="R77" s="65"/>
      <c r="S77" s="65"/>
      <c r="U77" s="1"/>
      <c r="V77" s="65"/>
      <c r="W77" s="65"/>
      <c r="X77" s="65"/>
    </row>
    <row r="78" spans="2:24" ht="12.75">
      <c r="B78" s="2"/>
      <c r="C78"/>
      <c r="D78" s="1" t="s">
        <v>147</v>
      </c>
      <c r="E78" s="65"/>
      <c r="F78" s="65"/>
      <c r="G78" s="65">
        <f>G77+G73/(G75*$P$68)</f>
        <v>1.009318451180285</v>
      </c>
      <c r="H78" s="65"/>
      <c r="I78" s="65">
        <f>I77+I73/(I75*$P$68)</f>
        <v>1.014148973447398</v>
      </c>
      <c r="J78" s="65"/>
      <c r="K78" s="65">
        <f>K77+K73/(K75*$P$68)</f>
        <v>1.029671121359179</v>
      </c>
      <c r="L78" s="65"/>
      <c r="M78" s="65">
        <f>M77+M73/(M75*$P$68)</f>
        <v>1.0298275029409556</v>
      </c>
      <c r="N78" s="65"/>
      <c r="O78" s="1"/>
      <c r="R78" s="65"/>
      <c r="S78" s="65"/>
      <c r="U78" s="1"/>
      <c r="V78" s="65"/>
      <c r="W78" s="65"/>
      <c r="X78" s="65"/>
    </row>
    <row r="79" spans="2:24" ht="12.75">
      <c r="B79" s="2"/>
      <c r="C79"/>
      <c r="D79" s="66" t="s">
        <v>148</v>
      </c>
      <c r="E79" s="65"/>
      <c r="F79" s="65"/>
      <c r="G79" s="65">
        <f>100*G77/G78</f>
        <v>0</v>
      </c>
      <c r="H79" s="65"/>
      <c r="I79" s="65">
        <f>100*I77/I78</f>
        <v>7.415178123164296</v>
      </c>
      <c r="J79" s="65"/>
      <c r="K79" s="65">
        <f>100*K77/K78</f>
        <v>7.303395351721678</v>
      </c>
      <c r="L79" s="65"/>
      <c r="M79" s="65">
        <f>100*M77/M78</f>
        <v>7.5284552076389915</v>
      </c>
      <c r="N79" s="65"/>
      <c r="O79" s="1"/>
      <c r="P79" s="23" t="s">
        <v>133</v>
      </c>
      <c r="S79" s="2"/>
      <c r="U79" s="66"/>
      <c r="V79" s="2"/>
      <c r="W79" s="2"/>
      <c r="X79" s="2"/>
    </row>
    <row r="80" spans="2:24" ht="12.75">
      <c r="B80" s="2"/>
      <c r="C80"/>
      <c r="D80" s="66" t="s">
        <v>149</v>
      </c>
      <c r="E80" s="65"/>
      <c r="F80" s="65"/>
      <c r="G80" s="65">
        <f>($P$80*G79^3+$Q$80*G79^2+$R$80*G79)*(1+$P$84/100)</f>
        <v>0</v>
      </c>
      <c r="H80" s="65"/>
      <c r="I80" s="65">
        <f>($P$80*I79^3+$Q$80*I79^2+$R$80*I79)*(1+$P$84/100)</f>
        <v>-0.5206150734110305</v>
      </c>
      <c r="J80" s="65"/>
      <c r="K80" s="65">
        <f>($P$80*K79^3+$Q$80*K79^2+$R$80*K79)*(1+$P$84/100)</f>
        <v>-0.5114023821839613</v>
      </c>
      <c r="L80" s="65"/>
      <c r="M80" s="65">
        <f>($P$80*M79^3+$Q$80*M79^2+$R$80*M79)*(1+$P$84/100)</f>
        <v>-0.5299874841193649</v>
      </c>
      <c r="N80" s="65"/>
      <c r="O80" s="1"/>
      <c r="P80" s="67">
        <v>3.15E-05</v>
      </c>
      <c r="Q80" s="2">
        <v>-0.002135</v>
      </c>
      <c r="R80" s="2">
        <v>-0.05611</v>
      </c>
      <c r="S80" s="60"/>
      <c r="U80" s="66"/>
      <c r="V80" s="60"/>
      <c r="W80" s="60"/>
      <c r="X80" s="60"/>
    </row>
    <row r="81" spans="2:24" ht="12.75">
      <c r="B81" s="23" t="s">
        <v>48</v>
      </c>
      <c r="C81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1"/>
      <c r="P81" s="65"/>
      <c r="Q81" s="65"/>
      <c r="R81" s="65"/>
      <c r="S81" s="65"/>
      <c r="U81" s="23"/>
      <c r="V81" s="65"/>
      <c r="W81" s="65"/>
      <c r="X81" s="65"/>
    </row>
    <row r="82" spans="2:24" ht="12.75">
      <c r="B82" s="2"/>
      <c r="C82"/>
      <c r="D82" s="1" t="s">
        <v>141</v>
      </c>
      <c r="E82" s="65"/>
      <c r="F82" s="65"/>
      <c r="G82" s="65">
        <f>G78*(1+G80/100)</f>
        <v>1.009318451180285</v>
      </c>
      <c r="H82" s="65"/>
      <c r="I82" s="65">
        <f>I78*(1+I80/100)</f>
        <v>1.0088691610247877</v>
      </c>
      <c r="J82" s="65"/>
      <c r="K82" s="65">
        <f>K78*(1+K80/100)</f>
        <v>1.024405358715888</v>
      </c>
      <c r="L82" s="65"/>
      <c r="M82" s="65">
        <f>M78*(1+M80/100)</f>
        <v>1.0243695460673496</v>
      </c>
      <c r="N82" s="65"/>
      <c r="O82" s="1"/>
      <c r="P82" s="23" t="s">
        <v>136</v>
      </c>
      <c r="Q82" s="65"/>
      <c r="R82" s="65"/>
      <c r="S82" s="65"/>
      <c r="U82" s="1"/>
      <c r="V82" s="65"/>
      <c r="W82" s="65"/>
      <c r="X82" s="65"/>
    </row>
    <row r="83" spans="2:24" ht="12.75">
      <c r="B83" s="2"/>
      <c r="C83"/>
      <c r="D83" s="1" t="s">
        <v>142</v>
      </c>
      <c r="E83" s="52"/>
      <c r="F83" s="52"/>
      <c r="G83" s="52">
        <f>G73+G71</f>
        <v>1066.0968843</v>
      </c>
      <c r="H83" s="52"/>
      <c r="I83" s="52">
        <f>I73+I71</f>
        <v>1006.7452843000001</v>
      </c>
      <c r="J83" s="52"/>
      <c r="K83" s="52">
        <f>K73+K71</f>
        <v>1026.9081906515828</v>
      </c>
      <c r="L83" s="52"/>
      <c r="M83" s="52">
        <f>M73+M71</f>
        <v>1025.0699327321747</v>
      </c>
      <c r="N83" s="52"/>
      <c r="O83" s="1"/>
      <c r="P83" s="23" t="s">
        <v>135</v>
      </c>
      <c r="R83" s="65"/>
      <c r="S83" s="65"/>
      <c r="U83" s="1"/>
      <c r="V83" s="65"/>
      <c r="W83" s="65"/>
      <c r="X83" s="65"/>
    </row>
    <row r="84" spans="2:24" ht="12.75">
      <c r="B84" s="2"/>
      <c r="C84"/>
      <c r="D84" s="1" t="s">
        <v>143</v>
      </c>
      <c r="E84" s="52"/>
      <c r="F84" s="52"/>
      <c r="G84" s="52">
        <f>G83/G82</f>
        <v>1056.25423081617</v>
      </c>
      <c r="H84" s="52"/>
      <c r="I84" s="52">
        <f>I83/I82</f>
        <v>997.8947946801841</v>
      </c>
      <c r="J84" s="52"/>
      <c r="K84" s="52">
        <f>K83/K82</f>
        <v>1002.4432046498002</v>
      </c>
      <c r="L84" s="52"/>
      <c r="M84" s="52">
        <f>M83/M82</f>
        <v>1000.6837246065289</v>
      </c>
      <c r="N84" s="52"/>
      <c r="O84" s="1"/>
      <c r="P84" s="102">
        <v>0</v>
      </c>
      <c r="Q84" s="71" t="s">
        <v>134</v>
      </c>
      <c r="R84" s="65"/>
      <c r="S84" s="65"/>
      <c r="U84" s="1"/>
      <c r="V84" s="65"/>
      <c r="W84" s="65"/>
      <c r="X84" s="65"/>
    </row>
    <row r="85" spans="2:24" ht="12.75">
      <c r="B85" s="2"/>
      <c r="C85"/>
      <c r="D85" s="1" t="s">
        <v>13</v>
      </c>
      <c r="E85" s="65"/>
      <c r="F85" s="65"/>
      <c r="G85" s="65">
        <f>G84/$P$68</f>
        <v>1.0581522384863429</v>
      </c>
      <c r="H85" s="65"/>
      <c r="I85" s="65">
        <f>I84/$P$68</f>
        <v>0.9996879349290663</v>
      </c>
      <c r="J85" s="65"/>
      <c r="K85" s="65">
        <f>K84/$P$68</f>
        <v>1.0042445180418118</v>
      </c>
      <c r="L85" s="65"/>
      <c r="M85" s="65">
        <f>M84/$P$68</f>
        <v>1.0024818763481345</v>
      </c>
      <c r="N85" s="65"/>
      <c r="O85" s="1"/>
      <c r="P85" s="65"/>
      <c r="Q85" s="65"/>
      <c r="R85" s="65"/>
      <c r="S85" s="65"/>
      <c r="U85" s="1"/>
      <c r="V85" s="65"/>
      <c r="W85" s="65"/>
      <c r="X85" s="65"/>
    </row>
    <row r="86" spans="2:24" ht="12.75">
      <c r="B86" s="2"/>
      <c r="C86"/>
      <c r="D86" s="1" t="s">
        <v>144</v>
      </c>
      <c r="E86" s="56"/>
      <c r="F86" s="56"/>
      <c r="G86" s="56">
        <f>100*G77/G82</f>
        <v>0</v>
      </c>
      <c r="H86" s="56"/>
      <c r="I86" s="56">
        <f>100*I77/I82</f>
        <v>7.453984691035577</v>
      </c>
      <c r="J86" s="56"/>
      <c r="K86" s="56">
        <f>100*K77/K82</f>
        <v>7.340937078817374</v>
      </c>
      <c r="L86" s="56"/>
      <c r="M86" s="56">
        <f>100*M77/M82</f>
        <v>7.568567669011858</v>
      </c>
      <c r="N86" s="56"/>
      <c r="O86" s="1"/>
      <c r="P86"/>
      <c r="Q86" s="2"/>
      <c r="R86" s="2"/>
      <c r="S86" s="2"/>
      <c r="U86" s="1"/>
      <c r="V86" s="2"/>
      <c r="W86" s="2"/>
      <c r="X86" s="2"/>
    </row>
    <row r="87" spans="2:24" ht="12.75">
      <c r="B87" s="2"/>
      <c r="C87"/>
      <c r="D87" s="1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1"/>
      <c r="P87"/>
      <c r="Q87" s="2"/>
      <c r="R87" s="2"/>
      <c r="S87" s="2"/>
      <c r="U87" s="1"/>
      <c r="V87" s="2"/>
      <c r="W87" s="2"/>
      <c r="X87" s="2"/>
    </row>
    <row r="88" spans="2:5" ht="12.75">
      <c r="B88" s="68" t="s">
        <v>176</v>
      </c>
      <c r="E88" s="23" t="s">
        <v>96</v>
      </c>
    </row>
    <row r="89" spans="4:17" ht="12.75">
      <c r="D89" s="1" t="s">
        <v>95</v>
      </c>
      <c r="E89" s="1" t="s">
        <v>97</v>
      </c>
      <c r="F89" s="56">
        <f>L48*F48/100</f>
        <v>2.342904481311285</v>
      </c>
      <c r="G89" t="s">
        <v>3</v>
      </c>
      <c r="K89" s="69" t="s">
        <v>4</v>
      </c>
      <c r="L89" s="56">
        <f>1000*F89/P92</f>
        <v>1.4552201747275062</v>
      </c>
      <c r="M89" t="s">
        <v>105</v>
      </c>
      <c r="P89" s="2">
        <v>90</v>
      </c>
      <c r="Q89" s="23" t="s">
        <v>137</v>
      </c>
    </row>
    <row r="90" spans="4:17" ht="12.75">
      <c r="D90" s="1" t="s">
        <v>98</v>
      </c>
      <c r="E90" s="1" t="s">
        <v>97</v>
      </c>
      <c r="F90" s="56">
        <f>F89*P89/P90</f>
        <v>1.5735925620747437</v>
      </c>
      <c r="G90" t="s">
        <v>3</v>
      </c>
      <c r="K90" s="69" t="s">
        <v>4</v>
      </c>
      <c r="L90" s="56">
        <f>1000*F90/P91</f>
        <v>1.258874049659795</v>
      </c>
      <c r="M90" t="s">
        <v>105</v>
      </c>
      <c r="P90" s="2">
        <v>134</v>
      </c>
      <c r="Q90" s="23" t="s">
        <v>138</v>
      </c>
    </row>
    <row r="91" spans="5:17" ht="12.75">
      <c r="E91" s="1" t="s">
        <v>99</v>
      </c>
      <c r="F91" s="56">
        <f>F90-F89</f>
        <v>-0.7693119192365412</v>
      </c>
      <c r="G91" t="s">
        <v>106</v>
      </c>
      <c r="K91" s="69" t="s">
        <v>103</v>
      </c>
      <c r="L91" s="56">
        <f>L90-L89</f>
        <v>-0.1963461250677112</v>
      </c>
      <c r="M91" t="s">
        <v>105</v>
      </c>
      <c r="P91" s="70">
        <v>1250</v>
      </c>
      <c r="Q91" t="s">
        <v>139</v>
      </c>
    </row>
    <row r="92" spans="3:17" ht="12.75">
      <c r="C92" s="1" t="s">
        <v>100</v>
      </c>
      <c r="D92" s="52">
        <f>M84+F91</f>
        <v>999.9144126872924</v>
      </c>
      <c r="E92" s="23" t="s">
        <v>101</v>
      </c>
      <c r="F92" s="60"/>
      <c r="G92" s="1" t="s">
        <v>102</v>
      </c>
      <c r="H92" s="65">
        <f>1+L91/1000</f>
        <v>0.9998036538749323</v>
      </c>
      <c r="I92" t="s">
        <v>15</v>
      </c>
      <c r="K92" s="1" t="s">
        <v>104</v>
      </c>
      <c r="L92" s="52">
        <f>D92/H92</f>
        <v>1000.1107805636944</v>
      </c>
      <c r="M92" t="s">
        <v>14</v>
      </c>
      <c r="P92" s="70">
        <v>1610</v>
      </c>
      <c r="Q92" t="s">
        <v>140</v>
      </c>
    </row>
    <row r="93" ht="12.75">
      <c r="B93" s="23"/>
    </row>
    <row r="95" ht="12.75">
      <c r="B95" t="s">
        <v>107</v>
      </c>
    </row>
    <row r="96" s="89" customFormat="1" ht="12.75">
      <c r="B96" s="89" t="s">
        <v>108</v>
      </c>
    </row>
    <row r="97" s="89" customFormat="1" ht="13.5">
      <c r="B97" s="90" t="s">
        <v>94</v>
      </c>
    </row>
    <row r="98" s="89" customFormat="1" ht="12.75">
      <c r="B98" s="89" t="s">
        <v>109</v>
      </c>
    </row>
    <row r="99" s="89" customFormat="1" ht="12.75">
      <c r="B99" s="89" t="s">
        <v>151</v>
      </c>
    </row>
    <row r="102" ht="12.75">
      <c r="B102" s="107" t="s">
        <v>152</v>
      </c>
    </row>
    <row r="107" ht="12.75">
      <c r="B107" s="89"/>
    </row>
    <row r="108" ht="13.5">
      <c r="B108" s="90"/>
    </row>
  </sheetData>
  <sheetProtection/>
  <mergeCells count="9">
    <mergeCell ref="P22:Q22"/>
    <mergeCell ref="S22:T22"/>
    <mergeCell ref="S23:T23"/>
    <mergeCell ref="P23:Q23"/>
    <mergeCell ref="M39:M40"/>
    <mergeCell ref="J37:K38"/>
    <mergeCell ref="L37:L38"/>
    <mergeCell ref="J39:K40"/>
    <mergeCell ref="L39:L40"/>
  </mergeCells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Claude</cp:lastModifiedBy>
  <cp:lastPrinted>2012-01-29T16:51:59Z</cp:lastPrinted>
  <dcterms:created xsi:type="dcterms:W3CDTF">2011-05-07T21:11:42Z</dcterms:created>
  <dcterms:modified xsi:type="dcterms:W3CDTF">2015-12-10T04:54:17Z</dcterms:modified>
  <cp:category/>
  <cp:version/>
  <cp:contentType/>
  <cp:contentStatus/>
</cp:coreProperties>
</file>